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hOzC9iEDKWTPdwK+qU5y4dc1gBvMowa9lAqT48mtpBLiJL+TicDDXoBKV2OQZxHbD7zcKCHUDYOFPnEKo+W5tg==" workbookSaltValue="G45d3ccFn0ZSQskFdOJJ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9" i="6"/>
  <c r="R8" i="9"/>
  <c r="T9" i="11" s="1"/>
  <c r="BE9" i="13"/>
  <c r="AL16" i="11"/>
  <c r="C16" i="6"/>
  <c r="BF9" i="8"/>
  <c r="AB13" i="21"/>
  <c r="AB19" i="21" s="1"/>
  <c r="X12" i="21"/>
  <c r="BH11" i="16"/>
  <c r="BM16" i="11"/>
  <c r="BF10" i="11"/>
  <c r="BM12" i="11"/>
  <c r="BJ12" i="11"/>
  <c r="BK17" i="11"/>
  <c r="BU11" i="17"/>
  <c r="BW12" i="20"/>
  <c r="BW10" i="20"/>
  <c r="AZ12" i="11"/>
  <c r="BH10" i="11"/>
  <c r="BH10" i="16"/>
  <c r="BH16" i="11"/>
  <c r="L16" i="2"/>
  <c r="V10" i="16"/>
  <c r="BF11" i="11"/>
  <c r="BG10" i="11"/>
  <c r="BK12" i="11"/>
  <c r="X11" i="17"/>
  <c r="AP10" i="21"/>
  <c r="BJ15" i="11"/>
  <c r="R17" i="20"/>
  <c r="R18" i="20" s="1"/>
  <c r="AZ15" i="11"/>
  <c r="AZ18" i="11" s="1"/>
  <c r="BV12" i="16"/>
  <c r="U10" i="17"/>
  <c r="BV9" i="16"/>
  <c r="T16" i="11"/>
  <c r="BI9" i="11"/>
  <c r="Q15" i="17"/>
  <c r="AQ12" i="21"/>
  <c r="L10" i="2"/>
  <c r="X10" i="21"/>
  <c r="L9" i="2"/>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U9" i="17"/>
  <c r="U19" i="17" s="1"/>
  <c r="L15" i="2"/>
  <c r="BL16" i="11"/>
  <c r="BF15" i="11"/>
  <c r="S10" i="17"/>
  <c r="Q17" i="17"/>
  <c r="AA17" i="16"/>
  <c r="V12" i="16"/>
  <c r="BV11" i="16"/>
  <c r="BV17" i="16"/>
  <c r="AZ9" i="11"/>
  <c r="AP15" i="20"/>
  <c r="BH9" i="11"/>
  <c r="BK11" i="11"/>
  <c r="BK9" i="11"/>
  <c r="P17" i="17"/>
  <c r="P18" i="17" s="1"/>
  <c r="P19" i="17" s="1"/>
  <c r="BL9" i="11"/>
  <c r="Q9" i="11" s="1"/>
  <c r="V9" i="16"/>
  <c r="X15" i="16"/>
  <c r="X18" i="16" s="1"/>
  <c r="BJ16" i="11"/>
  <c r="BJ18" i="11" s="1"/>
  <c r="BM17" i="11"/>
  <c r="AQ10" i="21"/>
  <c r="BG12" i="11"/>
  <c r="BU16" i="17"/>
  <c r="BW11" i="20"/>
  <c r="BU10" i="17"/>
  <c r="AP17" i="20"/>
  <c r="BG15" i="11"/>
  <c r="BI15" i="11"/>
  <c r="V11" i="11"/>
  <c r="BL17" i="11"/>
  <c r="BH17" i="16"/>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G19" i="7"/>
  <c r="AZ13" i="11"/>
  <c r="AZ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<sst xmlns="http://schemas.openxmlformats.org/spreadsheetml/2006/main" count="2102" uniqueCount="918">
  <si>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</si>
  <si>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</si>
  <si>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</si>
  <si>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</si>
  <si>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</si>
  <si>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</si>
  <si>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</si>
  <si>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</si>
  <si>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</si>
  <si>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</si>
  <si>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</si>
  <si>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</si>
  <si>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</si>
  <si>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</si>
  <si>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</si>
  <si>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</si>
  <si>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</si>
  <si>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</si>
  <si>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</si>
  <si>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</si>
  <si>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</si>
  <si>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</si>
  <si>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</si>
  <si>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</si>
  <si>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</si>
  <si>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</si>
  <si>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</si>
  <si>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</si>
  <si>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</si>
  <si>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</si>
  <si>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</si>
  <si>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</si>
  <si>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</si>
  <si>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</si>
  <si>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</si>
  <si>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</si>
  <si>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</si>
  <si>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</si>
  <si>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</si>
  <si>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</si>
  <si>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</si>
  <si>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</si>
  <si>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</si>
  <si>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</si>
  <si>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</si>
  <si>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</si>
  <si>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</si>
  <si>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</si>
  <si>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</si>
  <si>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</si>
  <si>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</si>
  <si>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</si>
  <si>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</si>
  <si>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</si>
  <si>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</si>
  <si>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</si>
  <si>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</si>
  <si>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</si>
  <si>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</si>
  <si>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</si>
  <si>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</si>
  <si>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</si>
  <si>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</si>
  <si>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</si>
  <si>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</si>
  <si>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</si>
  <si>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</si>
  <si>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</si>
  <si>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</si>
  <si>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</si>
  <si>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</si>
  <si>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</si>
  <si>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</si>
  <si>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</si>
  <si>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</si>
  <si>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</si>
  <si>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</si>
  <si>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</si>
  <si>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</si>
  <si>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</si>
  <si>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</si>
  <si>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</si>
  <si>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</si>
  <si>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</si>
  <si>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</si>
  <si>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</si>
  <si>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</si>
  <si>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</si>
  <si>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</si>
  <si>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</si>
  <si>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</si>
  <si>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</si>
  <si>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</si>
  <si>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</si>
  <si>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</si>
  <si>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</si>
  <si>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</si>
  <si>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</si>
  <si>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</si>
  <si>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</si>
  <si>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</si>
  <si>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</si>
  <si>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</si>
  <si>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</si>
  <si>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</si>
  <si>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</si>
  <si>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</si>
  <si>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</si>
  <si>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</si>
  <si>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</si>
  <si>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</si>
  <si>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</si>
  <si>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</si>
  <si>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</si>
  <si>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</si>
  <si>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</si>
  <si>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</si>
  <si>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</si>
  <si>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</si>
  <si>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</si>
  <si>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</si>
  <si>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</si>
  <si>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</si>
  <si>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</si>
  <si>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</si>
  <si>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</si>
  <si>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</si>
  <si>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</si>
  <si>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</si>
  <si>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</si>
  <si>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</si>
  <si>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</si>
  <si>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</si>
  <si>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</si>
  <si>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</si>
  <si>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</si>
  <si>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</si>
  <si>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</si>
  <si>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</si>
  <si>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</si>
  <si>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</si>
  <si>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</si>
  <si>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</si>
  <si>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</si>
  <si>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</si>
  <si>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</si>
  <si>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</si>
  <si>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</si>
  <si>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</si>
  <si>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</si>
  <si>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</si>
  <si>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</si>
  <si>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</si>
  <si>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</si>
  <si>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</si>
  <si>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</si>
  <si>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</si>
  <si>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</si>
  <si>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</si>
  <si>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</si>
  <si>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</si>
  <si>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</si>
  <si>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</si>
  <si>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</si>
  <si>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</si>
  <si>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</si>
  <si>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</si>
  <si>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</si>
  <si>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</si>
  <si>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</si>
  <si>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</si>
  <si>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</si>
  <si>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</si>
  <si>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</si>
  <si>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</si>
  <si>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</si>
  <si>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</si>
  <si>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</si>
  <si>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</si>
  <si>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</si>
  <si>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</si>
  <si>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</si>
  <si>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</si>
  <si>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</si>
  <si>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</si>
  <si>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</si>
  <si>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</si>
  <si>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</si>
  <si>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</si>
  <si>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</si>
  <si>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</si>
  <si>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</si>
  <si>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</si>
  <si>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</si>
  <si>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</si>
  <si>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</si>
  <si>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</si>
  <si>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</si>
  <si>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</si>
  <si>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</si>
  <si>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</si>
  <si>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</si>
  <si>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</si>
  <si>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</si>
  <si>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</si>
  <si>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</si>
  <si>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</si>
  <si>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</si>
  <si>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</si>
  <si>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</si>
  <si>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</si>
  <si>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</si>
  <si>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</si>
  <si>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</si>
  <si>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</si>
  <si>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</si>
  <si>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</si>
  <si>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</si>
  <si>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</si>
  <si>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</si>
  <si>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</si>
  <si>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</si>
  <si>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</si>
  <si>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</si>
  <si>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</si>
  <si>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</si>
  <si>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</si>
  <si>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</si>
  <si>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</si>
  <si>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</si>
  <si>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</si>
  <si>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</si>
  <si>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</si>
  <si>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</si>
  <si>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</si>
  <si>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</si>
  <si>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</si>
  <si>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</si>
  <si>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</si>
  <si>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</si>
  <si>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</si>
  <si>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</si>
  <si>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</si>
  <si>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</si>
  <si>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</si>
  <si>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</si>
  <si>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</si>
  <si>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</si>
  <si>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</si>
  <si>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</si>
  <si>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</si>
  <si>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</si>
  <si>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</si>
  <si>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</si>
  <si>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</si>
  <si>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</si>
  <si>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</si>
  <si>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</si>
  <si>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</si>
  <si>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</si>
  <si>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</si>
  <si>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</si>
  <si>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</si>
  <si>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</si>
  <si>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</si>
  <si>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</si>
  <si>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</si>
  <si>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</si>
  <si>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</si>
  <si>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</si>
  <si>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</si>
  <si>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</si>
  <si>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</si>
  <si>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</si>
  <si>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</si>
  <si>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</si>
  <si>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</si>
  <si>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</si>
  <si>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</si>
  <si>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</si>
  <si>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</si>
  <si>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</si>
  <si>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</si>
  <si>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</si>
  <si>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</si>
  <si>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</si>
  <si>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</si>
  <si>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</si>
  <si>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</si>
  <si>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</si>
  <si>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</si>
  <si>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</si>
  <si>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</si>
  <si>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</si>
  <si>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</si>
  <si>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</si>
  <si>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</si>
  <si>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</si>
  <si>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</si>
  <si>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</si>
  <si>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</si>
  <si>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</si>
  <si>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</si>
  <si>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</si>
  <si>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</si>
  <si>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</si>
  <si>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</si>
  <si>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</si>
  <si>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</si>
  <si>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</si>
  <si>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</si>
  <si>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</si>
  <si>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</si>
  <si>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</si>
  <si>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</si>
  <si>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</si>
  <si>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</si>
  <si>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</si>
  <si>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</si>
  <si>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</si>
  <si>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</si>
  <si>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</si>
  <si>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</si>
  <si>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</si>
  <si>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</si>
  <si>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</si>
  <si>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</si>
  <si>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</si>
  <si>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</si>
  <si>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</si>
  <si>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</si>
  <si>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</si>
  <si>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</si>
  <si>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</si>
  <si>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</si>
  <si>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</si>
  <si>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</si>
  <si>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</si>
  <si>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</si>
  <si>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</si>
  <si>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</si>
  <si>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</si>
  <si>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</si>
  <si>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</si>
  <si>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</si>
  <si>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</si>
  <si>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</si>
  <si>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</si>
  <si>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</si>
  <si>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</si>
  <si>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</si>
  <si>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</si>
  <si>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</si>
  <si>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</si>
  <si>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</si>
  <si>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</si>
  <si>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</si>
  <si>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</si>
  <si>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</si>
  <si>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</si>
  <si>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</si>
  <si>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</si>
  <si>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</si>
  <si>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</si>
  <si>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</si>
  <si>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</si>
  <si>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</si>
  <si>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</si>
  <si>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</si>
  <si>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</si>
  <si>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</si>
  <si>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</si>
  <si>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</si>
  <si>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</si>
  <si>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</si>
  <si>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</si>
  <si>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</si>
  <si>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</si>
  <si>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</si>
  <si>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</si>
  <si>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</si>
  <si>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</si>
  <si>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</si>
  <si>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</si>
  <si>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</si>
  <si>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</si>
  <si>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</si>
  <si>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</si>
  <si>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</si>
  <si>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</si>
  <si>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</si>
  <si>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</si>
  <si>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</si>
  <si>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</si>
  <si>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</si>
  <si>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</si>
  <si>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</si>
  <si>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</si>
  <si>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</si>
  <si>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</si>
  <si>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</si>
  <si>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</si>
  <si>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</si>
  <si>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</si>
  <si>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</si>
  <si>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</si>
  <si>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</si>
  <si>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</si>
  <si>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</si>
  <si>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</si>
  <si>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</si>
  <si>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</si>
  <si>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</si>
  <si>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</si>
  <si>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</si>
  <si>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</si>
  <si>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</si>
  <si>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</si>
  <si>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</si>
  <si>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</si>
  <si>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</si>
  <si>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</si>
  <si>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</si>
  <si>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</si>
  <si>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</si>
  <si>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</si>
  <si>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</si>
  <si>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</si>
  <si>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</si>
  <si>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</si>
  <si>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</si>
  <si>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</si>
  <si>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</si>
  <si>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</si>
  <si>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</si>
  <si>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</si>
  <si>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</si>
  <si>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</si>
  <si>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</si>
  <si>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</si>
  <si>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</si>
  <si>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</si>
  <si>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</si>
  <si>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</si>
  <si>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</si>
  <si>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</si>
  <si>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</si>
  <si>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</si>
  <si>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</si>
  <si>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</si>
  <si>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</si>
  <si>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</si>
  <si>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</si>
  <si>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</si>
  <si>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</si>
  <si>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</si>
  <si>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</si>
  <si>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</si>
  <si>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</si>
  <si>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</si>
  <si>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</si>
  <si>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</si>
  <si>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</si>
  <si>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</si>
  <si>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</si>
  <si>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</si>
  <si>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</si>
  <si>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</si>
  <si>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</si>
  <si>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</si>
  <si>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</si>
  <si>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</si>
  <si>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</si>
  <si>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</si>
  <si>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</si>
  <si>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</si>
  <si>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</si>
  <si>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</si>
  <si>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</si>
  <si>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</si>
  <si>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</si>
  <si>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</si>
  <si>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</si>
  <si>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</si>
  <si>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</si>
  <si>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</si>
  <si>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</si>
  <si>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</si>
  <si>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</si>
  <si>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</si>
  <si>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</si>
  <si>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</si>
  <si>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</si>
  <si>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</si>
  <si>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</si>
  <si>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</si>
  <si>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</si>
  <si>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</si>
  <si>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</si>
  <si>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</si>
  <si>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</si>
  <si>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</si>
  <si>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</si>
  <si>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</si>
  <si>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</si>
  <si>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</si>
  <si>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</si>
  <si>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</si>
  <si>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</si>
  <si>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</si>
  <si>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</si>
  <si>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</si>
  <si>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</si>
  <si>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</si>
  <si>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</si>
  <si>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</si>
  <si>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</si>
  <si>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</si>
  <si>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</si>
  <si>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</si>
  <si>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</si>
  <si>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</si>
  <si>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</si>
  <si>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</si>
  <si>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</si>
  <si>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</si>
  <si>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</si>
  <si>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</si>
  <si>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</si>
  <si>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</si>
  <si>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</si>
  <si>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</si>
  <si>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</si>
  <si>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</si>
  <si>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</si>
  <si>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</si>
  <si>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</si>
  <si>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</si>
  <si>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</si>
  <si>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</si>
  <si>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</si>
  <si>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</si>
  <si>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</si>
  <si>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</si>
  <si>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</si>
  <si>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</si>
  <si>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</si>
  <si>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</si>
  <si>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</si>
  <si>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</si>
  <si>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</si>
  <si>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</si>
  <si>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</si>
  <si>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</si>
  <si>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</si>
  <si>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</si>
  <si>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</si>
  <si>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</si>
  <si>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</si>
  <si>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</si>
  <si>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</si>
  <si>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</si>
  <si>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</si>
  <si>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</si>
  <si>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</si>
  <si>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</si>
  <si>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</si>
  <si>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</si>
  <si>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</si>
  <si>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</si>
  <si>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</si>
  <si>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</si>
  <si>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</si>
  <si>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</si>
  <si>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</si>
  <si>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</si>
  <si>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</si>
  <si>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</si>
  <si>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</si>
  <si>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</si>
  <si>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</si>
  <si>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</si>
  <si>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</si>
  <si>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</si>
  <si>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</si>
  <si>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</si>
  <si>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</si>
  <si>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</si>
  <si>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</si>
  <si>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</si>
  <si>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</si>
  <si>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</si>
  <si>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</si>
  <si>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</si>
  <si>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</si>
  <si>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</si>
  <si>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</si>
  <si>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</si>
  <si>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</si>
  <si>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</si>
  <si>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</si>
  <si>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</si>
  <si>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</si>
  <si>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</si>
  <si>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</si>
  <si>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</si>
  <si>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</si>
  <si>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</si>
  <si>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</si>
  <si>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</si>
  <si>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</si>
  <si>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</si>
  <si>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</si>
  <si>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</si>
  <si>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</si>
  <si>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</si>
  <si>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</si>
  <si>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</si>
  <si>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</si>
  <si>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</si>
  <si>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</si>
  <si>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</si>
  <si>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</si>
  <si>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</si>
  <si>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</si>
  <si>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</si>
  <si>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</si>
  <si>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</si>
  <si>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</si>
  <si>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</si>
  <si>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</si>
  <si>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</si>
  <si>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</si>
  <si>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</si>
  <si>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</si>
  <si>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</si>
  <si>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</si>
  <si>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</si>
  <si>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</si>
  <si>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</si>
  <si>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</si>
  <si>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</si>
  <si>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</si>
  <si>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</si>
  <si>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</si>
  <si>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</si>
  <si>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</si>
  <si>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</si>
  <si>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</si>
  <si>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</si>
  <si>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</si>
  <si>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</si>
  <si>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</si>
  <si>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</si>
  <si>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</si>
  <si>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</si>
  <si>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</si>
  <si>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</si>
  <si>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</si>
  <si>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</si>
  <si>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</si>
  <si>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</si>
  <si>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</si>
  <si>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</si>
  <si>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</si>
  <si>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</si>
  <si>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</si>
  <si>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</si>
  <si>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</si>
  <si>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</si>
  <si>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</si>
  <si>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</si>
  <si>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</si>
  <si>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</si>
  <si>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</si>
  <si>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</si>
  <si>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</si>
  <si>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</si>
  <si>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</si>
  <si>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</si>
  <si>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</si>
  <si>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</si>
  <si>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</si>
  <si>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</si>
  <si>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</si>
  <si>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</si>
  <si>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</si>
  <si>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</si>
  <si>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</si>
  <si>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</si>
  <si>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</si>
  <si>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</si>
  <si>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</si>
  <si>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</si>
  <si>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</si>
  <si>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</si>
  <si>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</si>
  <si>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</si>
  <si>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</si>
  <si>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</si>
  <si>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</si>
  <si>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</si>
  <si>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</si>
  <si>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</si>
  <si>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</si>
  <si>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</si>
  <si>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</si>
  <si>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</si>
  <si>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</si>
  <si>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</si>
  <si>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</si>
  <si>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</si>
  <si>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</si>
  <si>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</si>
  <si>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</si>
  <si>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</si>
  <si>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</si>
  <si>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</si>
  <si>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</si>
  <si>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</si>
  <si>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</si>
  <si>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</si>
  <si>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</si>
  <si>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</si>
  <si>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</si>
  <si>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</si>
  <si>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</si>
  <si>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</si>
  <si>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</si>
  <si>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</si>
  <si>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</si>
  <si>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</si>
  <si>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</si>
  <si>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</si>
  <si>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</si>
  <si>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</si>
  <si>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</si>
  <si>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</si>
  <si>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</si>
  <si>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</si>
  <si>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</si>
  <si>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</si>
  <si>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</si>
  <si>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</si>
  <si>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</si>
  <si>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</si>
  <si>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</si>
  <si>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</si>
  <si>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</si>
  <si>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</si>
  <si>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</si>
  <si>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</si>
  <si>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</si>
  <si>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</si>
  <si>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</si>
  <si>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</si>
  <si>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</si>
  <si>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</si>
  <si>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</si>
  <si>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</si>
  <si>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</si>
  <si>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</si>
  <si>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</si>
  <si>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</si>
  <si>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</si>
  <si>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</si>
  <si>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</si>
  <si>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</si>
  <si>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</si>
  <si>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</si>
  <si>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</si>
  <si>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</si>
  <si>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</si>
  <si>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</si>
  <si>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</si>
  <si>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</si>
  <si>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</si>
  <si>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</si>
  <si>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</si>
  <si>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</si>
  <si>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</si>
  <si>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</si>
  <si>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</si>
  <si>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</si>
  <si>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</si>
  <si>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</si>
  <si>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</si>
  <si>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</si>
  <si>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</si>
  <si>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</si>
  <si>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</si>
  <si>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</si>
  <si>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</si>
  <si>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</si>
  <si>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</si>
  <si>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</si>
  <si>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</si>
  <si>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</si>
  <si>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</si>
  <si>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</si>
  <si>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</si>
  <si>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</si>
  <si>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</si>
  <si>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</si>
  <si>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</si>
  <si>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</si>
  <si>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</si>
  <si>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</si>
  <si>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</si>
  <si>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</si>
  <si>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</si>
  <si>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</si>
  <si>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</si>
  <si>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</si>
  <si>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</si>
  <si>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</si>
  <si>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</si>
  <si>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</si>
  <si>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</si>
  <si>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</si>
  <si>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</si>
  <si>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</si>
  <si>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</si>
  <si>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</si>
  <si>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</si>
  <si>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</si>
  <si>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</si>
  <si>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</si>
  <si>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</si>
  <si>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</si>
  <si>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</si>
  <si>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</si>
  <si>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</si>
  <si>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</si>
  <si>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</si>
  <si>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</si>
  <si>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</si>
  <si>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</si>
  <si>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</si>
  <si>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</si>
  <si>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</si>
  <si>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</si>
  <si>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</si>
  <si>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</si>
  <si>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</si>
  <si>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</si>
  <si>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</si>
  <si>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</si>
  <si>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</si>
  <si>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</si>
  <si>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</si>
  <si>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</si>
  <si>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</si>
  <si>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</si>
  <si>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</si>
  <si>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</si>
  <si>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</si>
  <si>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</si>
  <si>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</si>
  <si>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</si>
  <si>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</si>
  <si>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</si>
  <si>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</si>
  <si>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</si>
  <si>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</si>
  <si>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</si>
  <si>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</si>
  <si>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</si>
  <si>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</si>
  <si>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</si>
  <si>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</si>
  <si>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</si>
  <si>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</si>
  <si>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</si>
  <si>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</si>
  <si>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</si>
  <si>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</si>
  <si>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</si>
  <si>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</si>
  <si>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</si>
  <si>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</si>
  <si>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</si>
  <si>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</si>
  <si>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</si>
  <si>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</si>
  <si>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</si>
  <si>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</si>
  <si>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</si>
  <si>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</si>
  <si>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</si>
  <si>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</si>
  <si>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</si>
  <si>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</si>
  <si>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</si>
  <si>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</si>
  <si>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</si>
  <si>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</si>
  <si>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</si>
  <si>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</si>
  <si>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</si>
  <si>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</si>
  <si>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</si>
  <si>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</si>
  <si>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</si>
  <si>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</si>
  <si>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</si>
  <si>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</si>
  <si>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</si>
  <si>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</si>
  <si>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</si>
  <si>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</si>
  <si>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</si>
  <si>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</si>
  <si>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</si>
  <si>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</si>
  <si>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</si>
  <si>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</si>
  <si>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MARTOS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</si>
</sst>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c4YhlY7K7Z1mcLAwZVUwTNzsFxNxK26uRtLgTCdjVp3bsY2yOGg6Od9z45mIPLGrlIpC9Ce2ci1tSDRrDGsAg==" saltValue="yEIEcCgxybNlpYuuc8+C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0</v>
      </c>
      <c r="F10" s="226">
        <f>IF(ISNUMBER(Datos!K10),Datos!K10," - ")</f>
        <v>3</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-0.6</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82.113149847094803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0</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807</v>
      </c>
      <c r="D16" s="225">
        <f>IF(ISNUMBER(IF(D_I="SI",Datos!I16,Datos!I16+Datos!AC16)),IF(D_I="SI",Datos!I16,Datos!I16+Datos!AC16)," - ")</f>
        <v>807</v>
      </c>
      <c r="E16" s="226">
        <f>IF(ISNUMBER(IF(D_I="SI",Datos!J16,Datos!J16+Datos!AD16)),IF(D_I="SI",Datos!J16,Datos!J16+Datos!AD16)," - ")</f>
        <v>441</v>
      </c>
      <c r="F16" s="226">
        <f>IF(ISNUMBER(IF(D_I="SI",Datos!K16,Datos!K16+Datos!AE16)),IF(D_I="SI",Datos!K16,Datos!K16+Datos!AE16)," - ")</f>
        <v>322</v>
      </c>
      <c r="G16" s="1034" t="str">
        <f>IF(Datos!E16&lt;&gt;"",Datos!E16,Datos!D16)</f>
        <v>04</v>
      </c>
      <c r="H16" s="227">
        <f>IF(ISNUMBER(IF(D_I="SI",Datos!L16,Datos!L16+Datos!AF16)),IF(D_I="SI",Datos!L16,Datos!L16+Datos!AF16)," - ")</f>
        <v>926</v>
      </c>
      <c r="I16" s="1044" t="str">
        <f>IF(ISNUMBER(Datos!AS16/Datos!BM16),Datos!AS16/Datos!BM16," - ")</f>
        <v xml:space="preserve"> - </v>
      </c>
      <c r="J16" s="1045">
        <f>IF(ISNUMBER(Datos!BY16/Datos!CN16),Datos!BY16/Datos!CN16," - ")</f>
        <v>0</v>
      </c>
      <c r="K16" s="230">
        <f t="shared" si="3"/>
        <v>0.14745972738537794</v>
      </c>
      <c r="L16" s="1025">
        <f>IF(ISNUMBER(NºAsuntos!I16/NºAsuntos!G16),(NºAsuntos!I16/NºAsuntos!G16)*11," - ")</f>
        <v>31.633540372670808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98</v>
      </c>
      <c r="D17" s="225">
        <f>IF(ISNUMBER(IF(D_I="SI",Datos!I17,Datos!I17+Datos!AC17)),IF(D_I="SI",Datos!I17,Datos!I17+Datos!AC17)," - ")</f>
        <v>98</v>
      </c>
      <c r="E17" s="226">
        <f>IF(ISNUMBER(IF(D_I="SI",Datos!J17,Datos!J17+Datos!AD17)),IF(D_I="SI",Datos!J17,Datos!J17+Datos!AD17)," - ")</f>
        <v>0</v>
      </c>
      <c r="F17" s="226">
        <f>IF(ISNUMBER(IF(D_I="SI",Datos!K17,Datos!K17+Datos!AE17)),IF(D_I="SI",Datos!K17,Datos!K17+Datos!AE17)," - ")</f>
        <v>57</v>
      </c>
      <c r="G17" s="1034" t="str">
        <f>IF(Datos!E17&lt;&gt;"",Datos!E17,Datos!D17)</f>
        <v>37</v>
      </c>
      <c r="H17" s="227">
        <f>IF(ISNUMBER(IF(D_I="SI",Datos!L17,Datos!L17+Datos!AF17)),IF(D_I="SI",Datos!L17,Datos!L17+Datos!AF17)," - ")</f>
        <v>41</v>
      </c>
      <c r="I17" s="1044" t="str">
        <f>IF(ISNUMBER(Datos!AS17/Datos!BM17),Datos!AS17/Datos!BM17," - ")</f>
        <v xml:space="preserve"> - </v>
      </c>
      <c r="J17" s="1045" t="str">
        <f>IF(ISNUMBER((Datos!BY17+Datos!BZ17)/Datos!CN17),(Datos!BY17+Datos!BZ17)/Datos!CN17," - ")</f>
        <v xml:space="preserve"> - </v>
      </c>
      <c r="K17" s="230">
        <f t="shared" si="3"/>
        <v>-0.58163265306122447</v>
      </c>
      <c r="L17" s="1025">
        <f>IF(ISNUMBER(NºAsuntos!I17/NºAsuntos!G17),(NºAsuntos!I17/NºAsuntos!G17)*11," - ")</f>
        <v>7.9122807017543861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905</v>
      </c>
      <c r="D18" s="1049">
        <f>SUBTOTAL(9,D15:D17)</f>
        <v>905</v>
      </c>
      <c r="E18" s="1050">
        <f>SUBTOTAL(9,E15:E17)</f>
        <v>441</v>
      </c>
      <c r="F18" s="1050">
        <f>SUBTOTAL(9,F15:F17)</f>
        <v>379</v>
      </c>
      <c r="G18" s="1052" t="str">
        <f ca="1">INDIRECT(CONCATENATE("G",ROW()-1))</f>
        <v>37</v>
      </c>
      <c r="H18" s="1053">
        <f ca="1">SUMIF(G$14:G17,G18,H$14:H17)</f>
        <v>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910</v>
      </c>
      <c r="D19" s="1071">
        <f>SUBTOTAL(9,D9:D18)</f>
        <v>910</v>
      </c>
      <c r="E19" s="1072">
        <f>SUBTOTAL(9,E9:E18)</f>
        <v>441</v>
      </c>
      <c r="F19" s="1072">
        <f>SUBTOTAL(9,F9:F18)</f>
        <v>382</v>
      </c>
      <c r="G19" s="1073"/>
      <c r="H19" s="1074">
        <f ca="1">SUMIF(B9:B18,"TOTAL",H9:H18)</f>
        <v>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d5jyMe99Vbo9Iw3/ABTB+P3IjSeN4QuxOFocddxdwJdl4tl0rDJOoeT5PzCxxGzpxLBeh7uEr7T7KG1h/u2nQ==" saltValue="BqlhM2d0gb4/Juun4neM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JNgKNdL312kMzj/e5He1dt60YH+jvWGVRQzpqFg7tDZOi2xktzRoFJMZWbZ9eWsJL64710ymTEKRVR+Eu/1bw==" saltValue="DcG8Hk8KkGDPacrPQ9zN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0</v>
      </c>
      <c r="K10" s="181">
        <v>3</v>
      </c>
      <c r="L10" s="181">
        <v>2</v>
      </c>
      <c r="M10" s="181">
        <v>3</v>
      </c>
      <c r="N10" s="181">
        <v>0</v>
      </c>
      <c r="O10" s="181">
        <v>0</v>
      </c>
      <c r="P10" s="181">
        <v>0</v>
      </c>
      <c r="Q10" s="181">
        <v>1</v>
      </c>
      <c r="R10" s="181">
        <v>9</v>
      </c>
      <c r="S10" s="181">
        <v>1</v>
      </c>
      <c r="T10" s="181">
        <v>2</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2274</v>
      </c>
      <c r="J12" s="183">
        <v>430</v>
      </c>
      <c r="K12" s="183">
        <v>318</v>
      </c>
      <c r="L12" s="183">
        <v>2386</v>
      </c>
      <c r="M12" s="183">
        <v>81</v>
      </c>
      <c r="N12" s="183">
        <v>66</v>
      </c>
      <c r="O12" s="181">
        <v>93</v>
      </c>
      <c r="P12" s="183">
        <v>92</v>
      </c>
      <c r="Q12" s="183">
        <v>40</v>
      </c>
      <c r="R12" s="183">
        <v>1152</v>
      </c>
      <c r="S12" s="183">
        <v>1339</v>
      </c>
      <c r="T12" s="183">
        <v>347</v>
      </c>
      <c r="U12" s="183">
        <v>183</v>
      </c>
      <c r="V12" s="183">
        <v>1503</v>
      </c>
      <c r="W12" s="183">
        <v>41</v>
      </c>
      <c r="X12" s="189">
        <v>54</v>
      </c>
      <c r="Y12" s="191">
        <v>53</v>
      </c>
      <c r="Z12" s="181">
        <v>11</v>
      </c>
      <c r="AA12" s="181">
        <v>9</v>
      </c>
      <c r="AB12" s="181">
        <v>55</v>
      </c>
      <c r="AC12" s="183">
        <v>0</v>
      </c>
      <c r="AD12" s="183">
        <v>0</v>
      </c>
      <c r="AE12" s="183">
        <v>0</v>
      </c>
      <c r="AF12" s="189">
        <v>0</v>
      </c>
      <c r="AG12" s="202">
        <v>38</v>
      </c>
      <c r="AH12" s="183">
        <v>13</v>
      </c>
      <c r="AI12" s="183">
        <v>7</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1377</v>
      </c>
      <c r="AZ12" s="127">
        <f t="shared" si="1"/>
        <v>360</v>
      </c>
      <c r="BA12" s="127">
        <f t="shared" si="1"/>
        <v>190</v>
      </c>
      <c r="BB12" s="127">
        <f t="shared" si="1"/>
        <v>1547</v>
      </c>
      <c r="BC12" s="125">
        <f>IF(ISNUMBER(X12),X12," - ")</f>
        <v>54</v>
      </c>
      <c r="BD12" s="126">
        <f t="shared" si="2"/>
        <v>0.52777777777777779</v>
      </c>
      <c r="BE12" s="127">
        <f t="shared" si="3"/>
        <v>8.1421052631578945</v>
      </c>
      <c r="BF12" s="127">
        <f t="shared" si="4"/>
        <v>0.28421052631578947</v>
      </c>
      <c r="BG12" s="196">
        <f t="shared" si="5"/>
        <v>9.1421052631578945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2279</v>
      </c>
      <c r="J13" s="184">
        <f t="shared" si="6"/>
        <v>430</v>
      </c>
      <c r="K13" s="184">
        <f t="shared" si="6"/>
        <v>321</v>
      </c>
      <c r="L13" s="184">
        <f t="shared" si="6"/>
        <v>2388</v>
      </c>
      <c r="M13" s="184">
        <f t="shared" si="6"/>
        <v>84</v>
      </c>
      <c r="N13" s="184">
        <f t="shared" si="6"/>
        <v>66</v>
      </c>
      <c r="O13" s="184">
        <f t="shared" si="6"/>
        <v>93</v>
      </c>
      <c r="P13" s="184">
        <f t="shared" si="6"/>
        <v>92</v>
      </c>
      <c r="Q13" s="184">
        <f t="shared" si="6"/>
        <v>41</v>
      </c>
      <c r="R13" s="184">
        <f t="shared" si="6"/>
        <v>1161</v>
      </c>
      <c r="S13" s="184">
        <f t="shared" si="6"/>
        <v>1340</v>
      </c>
      <c r="T13" s="184">
        <f t="shared" si="6"/>
        <v>349</v>
      </c>
      <c r="U13" s="184">
        <f t="shared" si="6"/>
        <v>183</v>
      </c>
      <c r="V13" s="184">
        <f t="shared" si="6"/>
        <v>1506</v>
      </c>
      <c r="W13" s="184">
        <f t="shared" si="6"/>
        <v>41</v>
      </c>
      <c r="X13" s="184">
        <f t="shared" si="6"/>
        <v>54</v>
      </c>
      <c r="Y13" s="184">
        <f t="shared" si="6"/>
        <v>53</v>
      </c>
      <c r="Z13" s="184">
        <f t="shared" si="6"/>
        <v>11</v>
      </c>
      <c r="AA13" s="184">
        <f t="shared" si="6"/>
        <v>9</v>
      </c>
      <c r="AB13" s="184">
        <f t="shared" si="6"/>
        <v>55</v>
      </c>
      <c r="AC13" s="184">
        <f t="shared" si="6"/>
        <v>0</v>
      </c>
      <c r="AD13" s="184">
        <f t="shared" si="6"/>
        <v>0</v>
      </c>
      <c r="AE13" s="184">
        <f t="shared" si="6"/>
        <v>0</v>
      </c>
      <c r="AF13" s="184">
        <f>SUBTOTAL(9,AF9:AF12)</f>
        <v>0</v>
      </c>
      <c r="AG13" s="184">
        <f t="shared" ref="AG13:AT13" si="7">SUBTOTAL(9,AG8:AG12)</f>
        <v>38</v>
      </c>
      <c r="AH13" s="184">
        <f t="shared" si="7"/>
        <v>13</v>
      </c>
      <c r="AI13" s="184">
        <f t="shared" si="7"/>
        <v>7</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1378</v>
      </c>
      <c r="AZ13" s="184">
        <f>SUBTOTAL(9,AZ8:AZ12)</f>
        <v>362</v>
      </c>
      <c r="BA13" s="184">
        <f>SUBTOTAL(9,BA8:BA12)</f>
        <v>190</v>
      </c>
      <c r="BB13" s="184">
        <f>SUBTOTAL(9,BB8:BB12)</f>
        <v>1550</v>
      </c>
      <c r="BC13" s="184">
        <f>SUBTOTAL(9,BC8:BC12)</f>
        <v>54</v>
      </c>
      <c r="BD13" s="205">
        <f>IF(ISNUMBER(BA13/AZ13),BA13/AZ13," - ")</f>
        <v>0.52486187845303867</v>
      </c>
      <c r="BE13" s="206">
        <f>IF(ISNUMBER(BB13/BA13),BB13/BA13, " - ")</f>
        <v>8.1578947368421044</v>
      </c>
      <c r="BF13" s="206">
        <f>IF(ISNUMBER(BC13/BA13),BC13/BA13, " - ")</f>
        <v>0.28421052631578947</v>
      </c>
      <c r="BG13" s="207">
        <f>IF(ISNUMBER((AY13+AZ13)/BA13),(AY13+AZ13)/BA13," - ")</f>
        <v>9.1578947368421044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807</v>
      </c>
      <c r="J16" s="183">
        <v>441</v>
      </c>
      <c r="K16" s="183">
        <v>322</v>
      </c>
      <c r="L16" s="183">
        <v>926</v>
      </c>
      <c r="M16" s="183">
        <v>53</v>
      </c>
      <c r="N16" s="183">
        <v>169</v>
      </c>
      <c r="O16" s="181">
        <v>9</v>
      </c>
      <c r="P16" s="183">
        <v>6</v>
      </c>
      <c r="Q16" s="183">
        <v>19</v>
      </c>
      <c r="R16" s="183">
        <v>57</v>
      </c>
      <c r="S16" s="183">
        <v>516</v>
      </c>
      <c r="T16" s="183">
        <v>586</v>
      </c>
      <c r="U16" s="183">
        <v>489</v>
      </c>
      <c r="V16" s="183">
        <v>613</v>
      </c>
      <c r="W16" s="183">
        <v>58</v>
      </c>
      <c r="X16" s="189">
        <v>325</v>
      </c>
      <c r="Y16" s="202">
        <v>0</v>
      </c>
      <c r="Z16" s="183">
        <v>0</v>
      </c>
      <c r="AA16" s="183">
        <v>0</v>
      </c>
      <c r="AB16" s="183">
        <v>0</v>
      </c>
      <c r="AC16" s="183">
        <v>0</v>
      </c>
      <c r="AD16" s="183">
        <v>0</v>
      </c>
      <c r="AE16" s="183">
        <v>0</v>
      </c>
      <c r="AF16" s="189">
        <v>0</v>
      </c>
      <c r="AG16" s="202">
        <v>0</v>
      </c>
      <c r="AH16" s="183">
        <v>0</v>
      </c>
      <c r="AI16" s="183">
        <v>0</v>
      </c>
      <c r="AJ16" s="203">
        <v>0</v>
      </c>
      <c r="AK16" s="182">
        <v>0</v>
      </c>
      <c r="AL16" s="183">
        <v>4</v>
      </c>
      <c r="AM16" s="183">
        <v>2</v>
      </c>
      <c r="AN16" s="189">
        <v>2</v>
      </c>
      <c r="AO16" s="259">
        <v>2</v>
      </c>
      <c r="AP16" s="155">
        <v>2</v>
      </c>
      <c r="AQ16" s="155">
        <v>2</v>
      </c>
      <c r="AR16" s="155">
        <v>2</v>
      </c>
      <c r="AS16" s="340" t="s">
        <v>487</v>
      </c>
      <c r="AT16" s="203"/>
      <c r="AU16" s="202"/>
      <c r="AV16" s="203"/>
      <c r="AW16" s="202"/>
      <c r="AX16" s="203"/>
      <c r="AY16" s="126">
        <f t="shared" si="9"/>
        <v>516</v>
      </c>
      <c r="AZ16" s="127">
        <f t="shared" si="9"/>
        <v>586</v>
      </c>
      <c r="BA16" s="127">
        <f t="shared" si="9"/>
        <v>489</v>
      </c>
      <c r="BB16" s="127">
        <f t="shared" si="9"/>
        <v>613</v>
      </c>
      <c r="BC16" s="125">
        <f>IF(ISNUMBER(W16),W16," - ")</f>
        <v>58</v>
      </c>
      <c r="BD16" s="126">
        <f t="shared" ref="BD16" si="11">IF(ISNUMBER(BA16/AZ16),BA16/AZ16," - ")</f>
        <v>0.83447098976109213</v>
      </c>
      <c r="BE16" s="127">
        <f t="shared" ref="BE16" si="12">IF(ISNUMBER(BB16/BA16),BB16/BA16, " - ")</f>
        <v>1.2535787321063394</v>
      </c>
      <c r="BF16" s="127">
        <f t="shared" ref="BF16" si="13">IF(ISNUMBER(BC16/BA16),BC16/BA16, " - ")</f>
        <v>0.11860940695296524</v>
      </c>
      <c r="BG16" s="196">
        <f t="shared" si="10"/>
        <v>2.2535787321063396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98</v>
      </c>
      <c r="J17" s="183">
        <v>0</v>
      </c>
      <c r="K17" s="183">
        <v>57</v>
      </c>
      <c r="L17" s="183">
        <v>41</v>
      </c>
      <c r="M17" s="183">
        <v>8</v>
      </c>
      <c r="N17" s="183">
        <v>38</v>
      </c>
      <c r="O17" s="183">
        <v>0</v>
      </c>
      <c r="P17" s="183">
        <v>0</v>
      </c>
      <c r="Q17" s="183">
        <v>0</v>
      </c>
      <c r="R17" s="183">
        <v>0</v>
      </c>
      <c r="S17" s="183">
        <v>89</v>
      </c>
      <c r="T17" s="183">
        <v>118</v>
      </c>
      <c r="U17" s="183">
        <v>95</v>
      </c>
      <c r="V17" s="183">
        <v>112</v>
      </c>
      <c r="W17" s="183">
        <v>16</v>
      </c>
      <c r="X17" s="189">
        <v>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89</v>
      </c>
      <c r="AZ17" s="129">
        <f t="shared" si="14"/>
        <v>118</v>
      </c>
      <c r="BA17" s="129">
        <f t="shared" si="14"/>
        <v>95</v>
      </c>
      <c r="BB17" s="129">
        <f t="shared" si="14"/>
        <v>112</v>
      </c>
      <c r="BC17" s="125">
        <f>IF(ISNUMBER(W17),W17," - ")</f>
        <v>16</v>
      </c>
      <c r="BD17" s="126">
        <f>IF(ISNUMBER(BA17/AZ17),BA17/AZ17," - ")</f>
        <v>0.80508474576271183</v>
      </c>
      <c r="BE17" s="127">
        <f>IF(ISNUMBER(BB17/BA17),BB17/BA17, " - ")</f>
        <v>1.1789473684210525</v>
      </c>
      <c r="BF17" s="127">
        <f>IF(ISNUMBER(BC17/BA17),BC17/BA17, " - ")</f>
        <v>0.16842105263157894</v>
      </c>
      <c r="BG17" s="196">
        <f>IF(ISNUMBER((AY17+AZ17)/BA17),(AY17+AZ17)/BA17," - ")</f>
        <v>2.1789473684210527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905</v>
      </c>
      <c r="J18" s="184">
        <f t="shared" si="15"/>
        <v>441</v>
      </c>
      <c r="K18" s="184">
        <f t="shared" si="15"/>
        <v>379</v>
      </c>
      <c r="L18" s="184">
        <f t="shared" si="15"/>
        <v>967</v>
      </c>
      <c r="M18" s="184">
        <f t="shared" si="15"/>
        <v>61</v>
      </c>
      <c r="N18" s="184">
        <f t="shared" si="15"/>
        <v>207</v>
      </c>
      <c r="O18" s="184">
        <f t="shared" si="15"/>
        <v>9</v>
      </c>
      <c r="P18" s="184">
        <f t="shared" si="15"/>
        <v>6</v>
      </c>
      <c r="Q18" s="184">
        <f t="shared" si="15"/>
        <v>19</v>
      </c>
      <c r="R18" s="184">
        <f t="shared" si="15"/>
        <v>57</v>
      </c>
      <c r="S18" s="184">
        <f t="shared" si="15"/>
        <v>605</v>
      </c>
      <c r="T18" s="184">
        <f t="shared" si="15"/>
        <v>704</v>
      </c>
      <c r="U18" s="184">
        <f t="shared" si="15"/>
        <v>584</v>
      </c>
      <c r="V18" s="184">
        <f t="shared" si="15"/>
        <v>725</v>
      </c>
      <c r="W18" s="184">
        <f t="shared" si="15"/>
        <v>74</v>
      </c>
      <c r="X18" s="184">
        <f t="shared" si="15"/>
        <v>396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4</v>
      </c>
      <c r="AM18" s="184">
        <f t="shared" si="15"/>
        <v>2</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605</v>
      </c>
      <c r="AZ18" s="184">
        <f>SUBTOTAL(9,AZ14:AZ17)</f>
        <v>704</v>
      </c>
      <c r="BA18" s="184">
        <f>SUBTOTAL(9,BA14:BA17)</f>
        <v>584</v>
      </c>
      <c r="BB18" s="184">
        <f>SUBTOTAL(9,BB14:BB17)</f>
        <v>725</v>
      </c>
      <c r="BC18" s="184">
        <f>SUBTOTAL(9,BC14:BC17)</f>
        <v>74</v>
      </c>
      <c r="BD18" s="205">
        <f>IF(ISNUMBER(BA18/AZ18),BA18/AZ18," - ")</f>
        <v>0.82954545454545459</v>
      </c>
      <c r="BE18" s="206">
        <f>IF(ISNUMBER(BB18/BA18),BB18/BA18, " - ")</f>
        <v>1.2414383561643836</v>
      </c>
      <c r="BF18" s="206">
        <f>IF(ISNUMBER(BC18/BA18),BC18/BA18, " - ")</f>
        <v>0.12671232876712329</v>
      </c>
      <c r="BG18" s="207">
        <f>IF(ISNUMBER((AY18+AZ18)/BA18),(AY18+AZ18)/BA18," - ")</f>
        <v>2.2414383561643834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3184</v>
      </c>
      <c r="J19" s="134">
        <f t="shared" si="18"/>
        <v>871</v>
      </c>
      <c r="K19" s="134">
        <f t="shared" si="18"/>
        <v>700</v>
      </c>
      <c r="L19" s="134">
        <f t="shared" si="18"/>
        <v>3355</v>
      </c>
      <c r="M19" s="134">
        <f t="shared" si="18"/>
        <v>145</v>
      </c>
      <c r="N19" s="134">
        <f t="shared" si="18"/>
        <v>273</v>
      </c>
      <c r="O19" s="134">
        <f t="shared" si="18"/>
        <v>102</v>
      </c>
      <c r="P19" s="134">
        <f t="shared" si="18"/>
        <v>98</v>
      </c>
      <c r="Q19" s="134">
        <f t="shared" si="18"/>
        <v>60</v>
      </c>
      <c r="R19" s="134">
        <f t="shared" si="18"/>
        <v>1218</v>
      </c>
      <c r="S19" s="134">
        <f t="shared" si="18"/>
        <v>1945</v>
      </c>
      <c r="T19" s="134">
        <f t="shared" si="18"/>
        <v>1053</v>
      </c>
      <c r="U19" s="134">
        <f t="shared" si="18"/>
        <v>767</v>
      </c>
      <c r="V19" s="134">
        <f t="shared" si="18"/>
        <v>2231</v>
      </c>
      <c r="W19" s="134">
        <f t="shared" si="18"/>
        <v>115</v>
      </c>
      <c r="X19" s="134">
        <f t="shared" si="18"/>
        <v>450</v>
      </c>
      <c r="Y19" s="134">
        <f t="shared" si="18"/>
        <v>53</v>
      </c>
      <c r="Z19" s="134">
        <f t="shared" si="18"/>
        <v>11</v>
      </c>
      <c r="AA19" s="134">
        <f t="shared" si="18"/>
        <v>9</v>
      </c>
      <c r="AB19" s="134">
        <f t="shared" si="18"/>
        <v>55</v>
      </c>
      <c r="AC19" s="134">
        <f t="shared" si="18"/>
        <v>0</v>
      </c>
      <c r="AD19" s="134">
        <f t="shared" si="18"/>
        <v>0</v>
      </c>
      <c r="AE19" s="134">
        <f t="shared" si="18"/>
        <v>0</v>
      </c>
      <c r="AF19" s="134">
        <f t="shared" si="18"/>
        <v>0</v>
      </c>
      <c r="AG19" s="134">
        <f t="shared" si="18"/>
        <v>38</v>
      </c>
      <c r="AH19" s="134">
        <f t="shared" si="18"/>
        <v>13</v>
      </c>
      <c r="AI19" s="134">
        <f t="shared" si="18"/>
        <v>7</v>
      </c>
      <c r="AJ19" s="134">
        <f t="shared" si="18"/>
        <v>44</v>
      </c>
      <c r="AK19" s="134">
        <f t="shared" si="18"/>
        <v>0</v>
      </c>
      <c r="AL19" s="134">
        <f t="shared" si="18"/>
        <v>4</v>
      </c>
      <c r="AM19" s="134">
        <f t="shared" si="18"/>
        <v>2</v>
      </c>
      <c r="AN19" s="210">
        <f t="shared" si="18"/>
        <v>2</v>
      </c>
      <c r="AO19" s="211">
        <v>3</v>
      </c>
      <c r="AP19" s="211">
        <v>2</v>
      </c>
      <c r="AQ19" s="211">
        <v>2</v>
      </c>
      <c r="AR19" s="211">
        <v>2</v>
      </c>
      <c r="AS19" s="153">
        <f t="shared" si="18"/>
        <v>0</v>
      </c>
      <c r="AT19" s="153">
        <f t="shared" si="18"/>
        <v>0</v>
      </c>
      <c r="AU19" s="211"/>
      <c r="AV19" s="212"/>
      <c r="AW19" s="211"/>
      <c r="AX19" s="212"/>
      <c r="AY19" s="133">
        <f>SUBTOTAL(9,AY9:AY18)</f>
        <v>1983</v>
      </c>
      <c r="AZ19" s="134">
        <f>SUBTOTAL(9,AZ9:AZ18)</f>
        <v>1066</v>
      </c>
      <c r="BA19" s="134">
        <f>SUBTOTAL(9,BA9:BA18)</f>
        <v>774</v>
      </c>
      <c r="BB19" s="134">
        <f>SUBTOTAL(9,BB9:BB18)</f>
        <v>2275</v>
      </c>
      <c r="BC19" s="135">
        <f>SUBTOTAL(9,BC9:BC18)</f>
        <v>128</v>
      </c>
      <c r="BD19" s="213">
        <f>IF(ISNUMBER(BA19/AZ19),BA19/AZ19," - ")</f>
        <v>0.726078799249531</v>
      </c>
      <c r="BE19" s="210">
        <f>IF(ISNUMBER(BB19/BA19),BB19/BA19, " - ")</f>
        <v>2.9392764857881137</v>
      </c>
      <c r="BF19" s="210">
        <f>IF(ISNUMBER(BC19/BA19),BC19/BA19, " - ")</f>
        <v>0.16537467700258399</v>
      </c>
      <c r="BG19" s="135">
        <f>IF(ISNUMBER((AY19+AZ19)/BA19),(AY19+AZ19)/BA19," - ")</f>
        <v>3.9392764857881137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cTpJjVcZZT1yw+82PI7GeGjoBdl5o5Mohme28/vY67HcJdSmNLO1WnfMo1ieFz2fSdEQhXjkxAqDqIqCIx6kQ==" saltValue="pRTSU+uPpPeni+3eBhHB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fP0Lo2WFDx3l6XV5KWauw6EY5eqclUrLw3ton8X77Mn9Az6sCSmMbTuilLWKyfvwgtr3/l0Z4ynGqJtzjk+aw==" saltValue="jf4mplqvvF7l+BjoZSEt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MARTOS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2</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1.3333333333333333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1152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v>
      </c>
      <c r="BD12" s="229">
        <f>IF(ISNUMBER(Datos!N12),Datos!N12," - ")</f>
        <v>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0.74149659863945583</v>
      </c>
      <c r="BH12" s="260">
        <f>IF(ISNUMBER(((IF(J_V="SI",Datos!L12/Datos!K12,(Datos!L12+Datos!AB12)/(Datos!K12+Datos!AA12)))*11)/factor_trimestre),((IF(J_V="SI",Datos!L12/Datos!K12,(Datos!L12+Datos!AB12)/(Datos!K12+Datos!AA12)))*11)/factor_trimestre," - ")</f>
        <v>14.929663608562691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4.7272727272727272E-2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41</v>
      </c>
      <c r="AD13" s="899">
        <f t="shared" si="1"/>
        <v>0</v>
      </c>
      <c r="AE13" s="899">
        <f t="shared" si="1"/>
        <v>0</v>
      </c>
      <c r="AF13" s="899">
        <f t="shared" si="1"/>
        <v>2</v>
      </c>
      <c r="AG13" s="899">
        <f t="shared" si="1"/>
        <v>0</v>
      </c>
      <c r="AH13" s="899">
        <f t="shared" si="1"/>
        <v>55</v>
      </c>
      <c r="AI13" s="899">
        <f t="shared" si="1"/>
        <v>0</v>
      </c>
      <c r="AJ13" s="899">
        <f t="shared" si="1"/>
        <v>0</v>
      </c>
      <c r="AK13" s="899">
        <f t="shared" si="1"/>
        <v>0</v>
      </c>
      <c r="AL13" s="899">
        <f t="shared" si="1"/>
        <v>0</v>
      </c>
      <c r="AM13" s="899">
        <f t="shared" si="1"/>
        <v>1161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v>
      </c>
      <c r="BD13" s="899">
        <f t="shared" si="1"/>
        <v>66</v>
      </c>
      <c r="BE13" s="899">
        <f t="shared" si="1"/>
        <v>0</v>
      </c>
      <c r="BF13" s="899">
        <f t="shared" si="1"/>
        <v>0</v>
      </c>
      <c r="BG13" s="899">
        <f>IF(ISNUMBER(Datos!K13/Datos!J13),Datos!K13/Datos!J13," - ")</f>
        <v>0.74651162790697678</v>
      </c>
      <c r="BH13" s="903">
        <f>IF(ISNUMBER(((Datos!L13/Datos!K13)*11)/factor_trimestre),((Datos!L13/Datos!K13)*11)/factor_trimestre," - ")</f>
        <v>14.878504672897197</v>
      </c>
      <c r="BI13" s="899">
        <f>IF(ISNUMBER('Resol  Asuntos'!D13/NºAsuntos!G13),'Resol  Asuntos'!D13/NºAsuntos!G13," - ")</f>
        <v>0.25454545454545452</v>
      </c>
      <c r="BJ13" s="899" t="str">
        <f>IF(ISNUMBER(Datos!CI13/Datos!CJ13),Datos!CI13/Datos!CJ13," - ")</f>
        <v xml:space="preserve"> - </v>
      </c>
      <c r="BK13" s="899">
        <f>SUBTOTAL(9,BK8:BK12)</f>
        <v>0</v>
      </c>
      <c r="BL13" s="899">
        <f>IF(ISNUMBER((I13-AB13+L13)/(F13)),(I13-AB13+L13)/(F13)," - ")</f>
        <v>-0.6</v>
      </c>
      <c r="BM13" s="904">
        <f>SUBTOTAL(9,BM9:BM12)</f>
        <v>-5.2727272727272734E-2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807</v>
      </c>
      <c r="G16" s="598">
        <f>IF(ISNUMBER(IF(D_I="SI",Datos!I16,Datos!I16+Datos!AC16)),IF(D_I="SI",Datos!I16,Datos!I16+Datos!AC16)," - ")</f>
        <v>807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322</v>
      </c>
      <c r="AC16" s="226">
        <f>IF(ISNUMBER(Datos!Q16),Datos!Q16," - ")</f>
        <v>19</v>
      </c>
      <c r="AD16" s="334"/>
      <c r="AE16" s="484"/>
      <c r="AF16" s="596">
        <f>IF(ISNUMBER(IF(D_I="SI",Datos!L16,Datos!L16+Datos!AF16)),IF(D_I="SI",Datos!L16,Datos!L16+Datos!AF16)," - ")</f>
        <v>926</v>
      </c>
      <c r="AG16" s="334"/>
      <c r="AH16" s="334"/>
      <c r="AI16" s="334"/>
      <c r="AJ16" s="334"/>
      <c r="AK16" s="334"/>
      <c r="AL16" s="479"/>
      <c r="AM16" s="335">
        <f>IF(ISNUMBER(Datos!R16),Datos!R16," - ")</f>
        <v>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169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0.73015873015873012</v>
      </c>
      <c r="BH16" s="260">
        <f>IF(ISNUMBER(((IF(D_I="SI",Datos!L16/Datos!K16,(Datos!L16+Datos!AF16)/(Datos!K16+Datos!AE16)))*11)/factor_trimestre),((IF(D_I="SI",Datos!L16/Datos!K16,(Datos!L16+Datos!AF16)/(Datos!K16+Datos!AE16)))*11)/factor_trimestre," - ")</f>
        <v>5.7515527950310563</v>
      </c>
      <c r="BI16" s="243">
        <f>IF(ISNUMBER('Resol  Asuntos'!D16/NºAsuntos!G16),'Resol  Asuntos'!D16/NºAsuntos!G16," - ")</f>
        <v>0.16459627329192547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41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38</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1.4385964912280702</v>
      </c>
      <c r="BI17" s="243">
        <f>IF(ISNUMBER('Resol  Asuntos'!D17/NºAsuntos!G17),'Resol  Asuntos'!D17/NºAsuntos!G17," - ")</f>
        <v>0.14035087719298245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807</v>
      </c>
      <c r="G18" s="898">
        <f>SUBTOTAL(9,G15:G17)</f>
        <v>905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379</v>
      </c>
      <c r="AC18" s="899">
        <f t="shared" si="4"/>
        <v>19</v>
      </c>
      <c r="AD18" s="899">
        <f t="shared" si="4"/>
        <v>0</v>
      </c>
      <c r="AE18" s="899">
        <f t="shared" si="4"/>
        <v>0</v>
      </c>
      <c r="AF18" s="899">
        <f t="shared" si="4"/>
        <v>967</v>
      </c>
      <c r="AG18" s="899">
        <f t="shared" si="4"/>
        <v>0</v>
      </c>
      <c r="AH18" s="899">
        <f t="shared" si="4"/>
        <v>0</v>
      </c>
      <c r="AI18" s="899">
        <f t="shared" si="4"/>
        <v>0</v>
      </c>
      <c r="AJ18" s="899">
        <f t="shared" si="4"/>
        <v>0</v>
      </c>
      <c r="AK18" s="899">
        <f t="shared" si="4"/>
        <v>0</v>
      </c>
      <c r="AL18" s="899">
        <f t="shared" si="4"/>
        <v>0</v>
      </c>
      <c r="AM18" s="899">
        <f t="shared" si="4"/>
        <v>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207</v>
      </c>
      <c r="BE18" s="899">
        <f t="shared" si="4"/>
        <v>0</v>
      </c>
      <c r="BF18" s="899">
        <f t="shared" si="4"/>
        <v>0</v>
      </c>
      <c r="BG18" s="899">
        <f>IF(ISNUMBER(Datos!K18/Datos!J18),Datos!K18/Datos!J18," - ")</f>
        <v>0.85941043083900226</v>
      </c>
      <c r="BH18" s="903">
        <f>IF(ISNUMBER(((Datos!L18/Datos!K18)*11)/factor_trimestre),((Datos!L18/Datos!K18)*11)/factor_trimestre," - ")</f>
        <v>5.1029023746701849</v>
      </c>
      <c r="BI18" s="899">
        <f>SUBTOTAL(9,BI15:BI17)</f>
        <v>0.30494715048490795</v>
      </c>
      <c r="BJ18" s="899">
        <f>SUBTOTAL(9,BJ15:BJ17)</f>
        <v>0</v>
      </c>
      <c r="BK18" s="899">
        <f>SUBTOTAL(9,BK15:BK17)</f>
        <v>0</v>
      </c>
      <c r="BL18" s="899">
        <f>IF(ISNUMBER((I18-AB18+L18)/(F18)),(I18-AB18+L18)/(F18)," - ")</f>
        <v>-0.46964064436183395</v>
      </c>
      <c r="BM18" s="905">
        <f>IF(ISNUMBER((Datos!P18-Datos!Q18)/(Datos!R18-Datos!P18+Datos!Q18)),(Datos!P18-Datos!Q18)/(Datos!R18-Datos!P18+Datos!Q18)," - ")</f>
        <v>-0.18571428571428572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812</v>
      </c>
      <c r="G19" s="820">
        <f t="shared" si="6"/>
        <v>910</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382</v>
      </c>
      <c r="AC19" s="821">
        <f t="shared" si="7"/>
        <v>60</v>
      </c>
      <c r="AD19" s="821">
        <f t="shared" si="7"/>
        <v>0</v>
      </c>
      <c r="AE19" s="821">
        <f t="shared" si="7"/>
        <v>0</v>
      </c>
      <c r="AF19" s="828">
        <f t="shared" si="7"/>
        <v>969</v>
      </c>
      <c r="AG19" s="828">
        <f t="shared" si="7"/>
        <v>0</v>
      </c>
      <c r="AH19" s="828">
        <f t="shared" si="7"/>
        <v>55</v>
      </c>
      <c r="AI19" s="828">
        <f t="shared" si="7"/>
        <v>0</v>
      </c>
      <c r="AJ19" s="821">
        <f t="shared" si="7"/>
        <v>0</v>
      </c>
      <c r="AK19" s="828">
        <f t="shared" si="7"/>
        <v>0</v>
      </c>
      <c r="AL19" s="828">
        <f t="shared" si="7"/>
        <v>0</v>
      </c>
      <c r="AM19" s="828">
        <f t="shared" si="7"/>
        <v>1218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145</v>
      </c>
      <c r="BD19" s="820">
        <f t="shared" si="7"/>
        <v>273</v>
      </c>
      <c r="BE19" s="820">
        <f t="shared" si="7"/>
        <v>0</v>
      </c>
      <c r="BF19" s="830">
        <f t="shared" si="7"/>
        <v>0</v>
      </c>
      <c r="BG19" s="915">
        <f>IF(ISNUMBER(Datos!K19/Datos!J19),Datos!K19/Datos!J19," - ")</f>
        <v>0.80367393800229625</v>
      </c>
      <c r="BH19" s="915">
        <f>IF(ISNUMBER(((Datos!L19/Datos!K19)*11)/factor_trimestre),((Datos!L19/Datos!K19)*11)/factor_trimestre," - ")</f>
        <v>9.5857142857142854</v>
      </c>
      <c r="BI19" s="813">
        <f>IF(ISNUMBER(Datos!J19/Datos!I19),Datos!J19/Datos!I19," - ")</f>
        <v>0.27355527638190957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-0.47044334975369456</v>
      </c>
      <c r="BM19" s="889">
        <f>IF(ISNUMBER((Datos!P19-Datos!Q19+R19)/(Datos!R19-Datos!P19+Datos!Q19-R19)),(Datos!P19-Datos!Q19+R19)/(Datos!R19-Datos!P19+Datos!Q19-R19)," - ")</f>
        <v>3.2203389830508473E-2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463.0349158900799</v>
      </c>
      <c r="G21" s="552">
        <f>IF(ISNUMBER(STDEV(G8:G18)),STDEV(G8:G18),"-")</f>
        <v>452.06415473912551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182.92949461472853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35.223098481914775</v>
      </c>
      <c r="BD21" s="551"/>
      <c r="BE21" s="551">
        <f>IF(ISNUMBER(STDEV(BE8:BE18)),STDEV(BE8:BE18),"-")</f>
        <v>0</v>
      </c>
      <c r="BF21" s="556">
        <f>IF(ISNUMBER(STDEV(BF8:BF18)),STDEV(BF8:BF18),"-")</f>
        <v>0</v>
      </c>
      <c r="BG21" s="775">
        <f>IF(ISNUMBER(STDEV(BG8:BG18)),STDEV(BG8:BG18),"-")</f>
        <v>6.0399316153147739E-2</v>
      </c>
      <c r="BH21" s="776">
        <f>IF(ISNUMBER(STDEV(BH8:BH18)),STDEV(BH8:BH18),"-")</f>
        <v>6.2097557155033201</v>
      </c>
      <c r="BI21" s="249">
        <f>IF(ISNUMBER(STDEV(BI8:BI18)),STDEV(BI8:BI18),"-")</f>
        <v>7.6946804569178101E-2</v>
      </c>
      <c r="BJ21" s="230" t="str">
        <f>IF(ISNUMBER(BL21/BM21),BL21/BM21," - ")</f>
        <v xml:space="preserve"> - </v>
      </c>
      <c r="BK21" s="575"/>
      <c r="BL21" s="559">
        <f>IF(ISNUMBER(STDEV(BL8:BL18)),STDEV(BL8:BL18),"-")</f>
        <v>9.2177984362856888E-2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jRgYMz3NAKM6IO25IE49kuzD9sP2CRzGOpatBGLRGrWLv7xZwoodlQEdIw0WZdZQprqDypja32nLi2BScBW7A==" saltValue="BpwlU4K3O/uYvHuHmY8V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MARTOS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2</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1152</v>
      </c>
      <c r="AF12" s="229" t="str">
        <f>IF(ISNUMBER(Datos!BV12),Datos!BV12," - ")</f>
        <v xml:space="preserve"> - </v>
      </c>
      <c r="AG12" s="225" t="str">
        <f>IF(ISNUMBER(Datos!DV12),Datos!DV12," - ")</f>
        <v xml:space="preserve"> - </v>
      </c>
      <c r="AH12" s="298"/>
      <c r="AI12" s="227"/>
      <c r="AJ12" s="225">
        <f>IF(ISNUMBER(Datos!M12),Datos!M12," - ")</f>
        <v>81</v>
      </c>
      <c r="AK12" s="229">
        <f>IF(ISNUMBER(Datos!N12),Datos!N12," - ")</f>
        <v>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14.929663608562691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4.7272727272727272E-2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41</v>
      </c>
      <c r="AA13" s="900">
        <f t="shared" si="2"/>
        <v>2</v>
      </c>
      <c r="AB13" s="900">
        <f t="shared" si="2"/>
        <v>0</v>
      </c>
      <c r="AC13" s="900">
        <f t="shared" si="2"/>
        <v>0</v>
      </c>
      <c r="AD13" s="900">
        <f t="shared" si="2"/>
        <v>0</v>
      </c>
      <c r="AE13" s="900">
        <f t="shared" si="2"/>
        <v>1161</v>
      </c>
      <c r="AF13" s="908">
        <f t="shared" si="2"/>
        <v>0</v>
      </c>
      <c r="AG13" s="908">
        <f t="shared" si="2"/>
        <v>0</v>
      </c>
      <c r="AH13" s="908">
        <f t="shared" si="2"/>
        <v>0</v>
      </c>
      <c r="AI13" s="908">
        <f t="shared" si="2"/>
        <v>0</v>
      </c>
      <c r="AJ13" s="908">
        <f t="shared" si="2"/>
        <v>84</v>
      </c>
      <c r="AK13" s="908">
        <f t="shared" si="2"/>
        <v>66</v>
      </c>
      <c r="AL13" s="908">
        <f t="shared" si="2"/>
        <v>0</v>
      </c>
      <c r="AM13" s="908">
        <f t="shared" si="2"/>
        <v>0</v>
      </c>
      <c r="AN13" s="908">
        <f t="shared" si="2"/>
        <v>0</v>
      </c>
      <c r="AO13" s="904">
        <f>IF(ISNUMBER(((NºAsuntos!I13/NºAsuntos!G13)*11)/factor_trimestre),((NºAsuntos!I13/NºAsuntos!G13)*11)/factor_trimestre," - ")</f>
        <v>14.806060606060607</v>
      </c>
      <c r="AP13" s="910" t="str">
        <f>IF(ISNUMBER(Datos!CI13/Datos!CJ13),Datos!CI13/Datos!CJ13," - ")</f>
        <v xml:space="preserve"> - </v>
      </c>
      <c r="AQ13" s="928">
        <f t="shared" ref="AQ13:AV13" si="3">SUBTOTAL(9,AQ9:AQ12)</f>
        <v>0</v>
      </c>
      <c r="AR13" s="928">
        <f t="shared" si="3"/>
        <v>-5.2727272727272734E-2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807</v>
      </c>
      <c r="G16" s="225">
        <f>IF(ISNUMBER(IF(D_I="SI",Datos!I16,Datos!I16+Datos!AC16)),IF(D_I="SI",Datos!I16,Datos!I16+Datos!AC16)," - ")</f>
        <v>807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322</v>
      </c>
      <c r="Z16" s="619">
        <f>IF(ISNUMBER(Datos!Q16),Datos!Q16," - ")</f>
        <v>19</v>
      </c>
      <c r="AA16" s="332">
        <f>IF(ISNUMBER(IF(D_I="SI",Datos!L16,Datos!L16+Datos!AF16)),IF(D_I="SI",Datos!L16,Datos!L16+Datos!AF16)," - ")</f>
        <v>926</v>
      </c>
      <c r="AB16" s="334"/>
      <c r="AC16" s="334"/>
      <c r="AD16" s="484"/>
      <c r="AE16" s="484">
        <f>IF(ISNUMBER(Datos!R16),Datos!R16," - ")</f>
        <v>57</v>
      </c>
      <c r="AF16" s="229" t="str">
        <f>IF(ISNUMBER(Datos!BV16),Datos!BV16," - ")</f>
        <v xml:space="preserve"> - </v>
      </c>
      <c r="AG16" s="225"/>
      <c r="AH16" s="298"/>
      <c r="AI16" s="227"/>
      <c r="AJ16" s="225">
        <f>IF(ISNUMBER(Datos!M16),Datos!M16," - ")</f>
        <v>53</v>
      </c>
      <c r="AK16" s="229">
        <f>IF(ISNUMBER(Datos!N16),Datos!N16," - ")</f>
        <v>169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5.7515527950310563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41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1.4385964912280702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807</v>
      </c>
      <c r="G18" s="898">
        <f>SUBTOTAL(9,G15:G17)</f>
        <v>905</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379</v>
      </c>
      <c r="Z18" s="932">
        <f t="shared" si="5"/>
        <v>19</v>
      </c>
      <c r="AA18" s="932">
        <f t="shared" si="5"/>
        <v>967</v>
      </c>
      <c r="AB18" s="932">
        <f t="shared" si="5"/>
        <v>0</v>
      </c>
      <c r="AC18" s="932">
        <f t="shared" si="5"/>
        <v>0</v>
      </c>
      <c r="AD18" s="932">
        <f t="shared" si="5"/>
        <v>0</v>
      </c>
      <c r="AE18" s="932">
        <f t="shared" si="5"/>
        <v>57</v>
      </c>
      <c r="AF18" s="932">
        <f t="shared" si="5"/>
        <v>0</v>
      </c>
      <c r="AG18" s="932">
        <f t="shared" si="5"/>
        <v>0</v>
      </c>
      <c r="AH18" s="932">
        <f t="shared" si="5"/>
        <v>0</v>
      </c>
      <c r="AI18" s="932">
        <f t="shared" si="5"/>
        <v>0</v>
      </c>
      <c r="AJ18" s="932">
        <f t="shared" si="5"/>
        <v>61</v>
      </c>
      <c r="AK18" s="932">
        <f t="shared" si="5"/>
        <v>207</v>
      </c>
      <c r="AL18" s="932">
        <f t="shared" si="5"/>
        <v>0</v>
      </c>
      <c r="AM18" s="932">
        <f t="shared" si="5"/>
        <v>0</v>
      </c>
      <c r="AN18" s="932">
        <f t="shared" si="5"/>
        <v>0</v>
      </c>
      <c r="AO18" s="934">
        <f>IF(ISNUMBER(((NºAsuntos!I18/NºAsuntos!G18)*11)/factor_trimestre),((NºAsuntos!I18/NºAsuntos!G18)*11)/factor_trimestre," - ")</f>
        <v>5.1029023746701849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812</v>
      </c>
      <c r="G19" s="820">
        <f t="shared" si="7"/>
        <v>910</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382</v>
      </c>
      <c r="Z19" s="827">
        <f t="shared" si="8"/>
        <v>60</v>
      </c>
      <c r="AA19" s="828">
        <f t="shared" si="8"/>
        <v>969</v>
      </c>
      <c r="AB19" s="828">
        <f t="shared" si="8"/>
        <v>0</v>
      </c>
      <c r="AC19" s="828">
        <f t="shared" si="8"/>
        <v>0</v>
      </c>
      <c r="AD19" s="829">
        <f t="shared" si="8"/>
        <v>0</v>
      </c>
      <c r="AE19" s="829">
        <f t="shared" si="8"/>
        <v>1218</v>
      </c>
      <c r="AF19" s="830">
        <f t="shared" si="8"/>
        <v>0</v>
      </c>
      <c r="AG19" s="831">
        <f t="shared" si="8"/>
        <v>0</v>
      </c>
      <c r="AH19" s="832">
        <f t="shared" si="8"/>
        <v>0</v>
      </c>
      <c r="AI19" s="830">
        <f t="shared" si="8"/>
        <v>0</v>
      </c>
      <c r="AJ19" s="820">
        <f t="shared" si="8"/>
        <v>145</v>
      </c>
      <c r="AK19" s="820">
        <f t="shared" si="8"/>
        <v>273</v>
      </c>
      <c r="AL19" s="820">
        <f t="shared" si="8"/>
        <v>0</v>
      </c>
      <c r="AM19" s="833">
        <f t="shared" si="8"/>
        <v>0</v>
      </c>
      <c r="AN19" s="823">
        <f>IF(ISNUMBER(Datos!K19/Datos!J19),Datos!K19/Datos!J19," - ")</f>
        <v>0.80367393800229625</v>
      </c>
      <c r="AO19" s="823">
        <f>IF(ISNUMBER(FIND("06",Criterios!A8,1)),(IF(ISNUMBER(((Datos!R19/Datos!Q19)*11)/factor_trimestre),((Datos!R19/Datos!Q19)*11)/factor_trimestre," - ")),(IF(ISNUMBER(((Datos!L19/Datos!K19)*11)/factor_trimestre),((Datos!L19/Datos!K19)*11)/factor_trimestre," - ")))</f>
        <v>9.5857142857142854</v>
      </c>
      <c r="AP19" s="834" t="str">
        <f>IF(ISNUMBER(Datos!CI19/Datos!CJ19),Datos!CI19/Datos!CJ19," - ")</f>
        <v xml:space="preserve"> - </v>
      </c>
      <c r="AQ19" s="834">
        <f>IF(OR(ISNUMBER(FIND("01",Criterios!A8,1)),ISNUMBER(FIND("02",Criterios!A8,1)),ISNUMBER(FIND("03",Criterios!A8,1)),ISNUMBER(FIND("04",Criterios!A8,1))),(J19-Y19+K19)/(F19-K19),(I19-Y19+K19)/(F19-K19))</f>
        <v>-0.47044334975369456</v>
      </c>
      <c r="AR19" s="834">
        <f>IF(ISNUMBER((Datos!P19-Datos!Q19+O19)/(Datos!R19-Datos!P19+Datos!Q19-O19)),(Datos!P19-Datos!Q19+O19)/(Datos!R19-Datos!P19+Datos!Q19-O19)," - ")</f>
        <v>3.2203389830508473E-2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463.0349158900799</v>
      </c>
      <c r="G21" s="552">
        <f>IF(ISNUMBER(STDEV(G8:G18)),STDEV(G8:G18),"-")</f>
        <v>452.06415473912551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35.223098481914775</v>
      </c>
      <c r="AK21" s="252"/>
      <c r="AL21" s="252">
        <f>IF(ISNUMBER(STDEV(AL8:AL18)),STDEV(AL8:AL18),"-")</f>
        <v>0</v>
      </c>
      <c r="AM21" s="254">
        <f>IF(ISNUMBER(STDEV(AM8:AM18)),STDEV(AM8:AM18),"-")</f>
        <v>0</v>
      </c>
      <c r="AN21" s="539">
        <f>IF(ISNUMBER(STDEV(AN8:AN18)),STDEV(AN8:AN18),"-")</f>
        <v>0</v>
      </c>
      <c r="AO21" s="540">
        <f>IF(ISNUMBER(STDEV(AO8:AO18)),STDEV(AO8:AO18),"-")</f>
        <v>6.1919761541813347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rH66R6LY/OVB9XlUPXCBjLjw/fNZqhdqAsG0iVU7BMC7eum9AeezrMeesN1wtEqeuKq6x3VIwa8a+zNzlzs3ew==" saltValue="sYXw5NRWfjEKH+cck+xX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CENY5BFpPKkry4ogEt9XEzq6nT25rDV0AIomm53tdINzj5kV96mzCy67sOsivLwt527eKgyLgF1M+8+CllEAA==" saltValue="6aMtgUd4MGZ5dsr4BLov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PG/o5ItebB+NzdXIb1n/ZIeBdGWe8U+OV+WZVeABrWHkoZXjSlWDelQexV5p0wtCPt0dQ+5LzWg8Tm8pb2Vw==" saltValue="fxocpnmcqOoyO7PEk4Pc9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MARTOS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0.25454545454545452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0.17999081702930297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0K/8u6CkW9j4ZRsdHYjeFhE6G2MKgKeeX8/cwqf3fulypySAHBTR6+p5veQ7LZV5RGMtDP5dfgW9j6HULOU/Sg==" saltValue="Bm3pIKiODHly48OhOvM1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bFPCd/6rAJObbiC9l7Q69wDLpTXdGwJGADZC4WzPGUEFN1XtkgkmzRS2N+//wUEo+jCZT6DfvkX2B2ImWztQA==" saltValue="FJ+dRk72xxrxk65muVUy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MARTOS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0</v>
      </c>
      <c r="F10" s="404">
        <f>IF(ISNUMBER(E10/B10),E10/B10," - ")</f>
        <v>0</v>
      </c>
      <c r="G10" s="403">
        <f>IF(ISNUMBER(Datos!K10),Datos!K10," - ")</f>
        <v>3</v>
      </c>
      <c r="H10" s="404">
        <f>IF(ISNUMBER(G10/B10),G10/B10," - ")</f>
        <v>3</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2327</v>
      </c>
      <c r="D12" s="404">
        <f>IF(ISNUMBER(C12/Datos!BH12),C12/Datos!BH12," - ")</f>
        <v>1163.5</v>
      </c>
      <c r="E12" s="403">
        <f>IF(ISNUMBER(IF(J_V="SI",Datos!J12,Datos!J12+Datos!Z12)),IF(J_V="SI",Datos!J12,Datos!J12+Datos!Z12)," - ")</f>
        <v>441</v>
      </c>
      <c r="F12" s="404">
        <f>IF(ISNUMBER(E12/B12),E12/B12," - ")</f>
        <v>220.5</v>
      </c>
      <c r="G12" s="403">
        <f>IF(ISNUMBER(IF(J_V="SI",Datos!K12,Datos!K12+Datos!AA12)),IF(J_V="SI",Datos!K12,Datos!K12+Datos!AA12)," - ")</f>
        <v>327</v>
      </c>
      <c r="H12" s="404">
        <f>IF(ISNUMBER(G12/B12),G12/B12," - ")</f>
        <v>163.5</v>
      </c>
      <c r="I12" s="403">
        <f>IF(ISNUMBER(IF(J_V="SI",Datos!L12,Datos!L12+Datos!AB12)),IF(J_V="SI",Datos!L12,Datos!L12+Datos!AB12)," - ")</f>
        <v>2441</v>
      </c>
      <c r="J12" s="404">
        <f>IF(ISNUMBER(I12/B12),I12/B12," - ")</f>
        <v>1220.5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2332</v>
      </c>
      <c r="D13" s="850" t="str">
        <f>IF(ISNUMBER(C13/Datos!BI13),C13/Datos!BI13," - ")</f>
        <v xml:space="preserve"> - </v>
      </c>
      <c r="E13" s="849">
        <f>SUBTOTAL(9,E8:E12)</f>
        <v>441</v>
      </c>
      <c r="F13" s="850">
        <f>IF(ISNUMBER(E13/B13),E13/B13," - ")</f>
        <v>220.5</v>
      </c>
      <c r="G13" s="849">
        <f>SUBTOTAL(9,G8:G12)</f>
        <v>330</v>
      </c>
      <c r="H13" s="850">
        <f>IF(ISNUMBER(G13/B13),G13/B13," - ")</f>
        <v>165</v>
      </c>
      <c r="I13" s="849">
        <f>SUBTOTAL(9,I8:I12)</f>
        <v>2443</v>
      </c>
      <c r="J13" s="850">
        <f>IF(ISNUMBER(I13/B13),I13/B13," - ")</f>
        <v>1221.5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807</v>
      </c>
      <c r="D16" s="404">
        <f>IF(ISNUMBER(C16/Datos!BH16),C16/Datos!BH16," - ")</f>
        <v>403.5</v>
      </c>
      <c r="E16" s="403">
        <f>IF(ISNUMBER(IF(D_I="SI",Datos!J16,Datos!J16+Datos!AD16)),IF(D_I="SI",Datos!J16,Datos!J16+Datos!AD16)," - ")</f>
        <v>441</v>
      </c>
      <c r="F16" s="404">
        <f>IF(ISNUMBER(E16/B16),E16/B16," - ")</f>
        <v>220.5</v>
      </c>
      <c r="G16" s="403">
        <f>IF(ISNUMBER(IF(D_I="SI",Datos!K16,Datos!K16+Datos!AE16)),IF(D_I="SI",Datos!K16,Datos!K16+Datos!AE16)," - ")</f>
        <v>322</v>
      </c>
      <c r="H16" s="404">
        <f>IF(ISNUMBER(G16/B16),G16/B16," - ")</f>
        <v>161</v>
      </c>
      <c r="I16" s="403">
        <f>IF(ISNUMBER(IF(D_I="SI",Datos!L16,Datos!L16+Datos!AF16)),IF(D_I="SI",Datos!L16,Datos!L16+Datos!AF16)," - ")</f>
        <v>926</v>
      </c>
      <c r="J16" s="404">
        <f>IF(ISNUMBER(I16/B16),I16/B16," - ")</f>
        <v>463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98</v>
      </c>
      <c r="D17" s="404">
        <f>IF(ISNUMBER(C17/Datos!BH17),C17/Datos!BH17," - ")</f>
        <v>98</v>
      </c>
      <c r="E17" s="403">
        <f>IF(ISNUMBER(IF(D_I="SI",Datos!J17,Datos!J17+Datos!AD17)),IF(D_I="SI",Datos!J17,Datos!J17+Datos!AD17)," - ")</f>
        <v>0</v>
      </c>
      <c r="F17" s="404">
        <f>IF(ISNUMBER(E17/B17),E17/B17," - ")</f>
        <v>0</v>
      </c>
      <c r="G17" s="403">
        <f>IF(ISNUMBER(IF(D_I="SI",Datos!K17,Datos!K17+Datos!AE17)),IF(D_I="SI",Datos!K17,Datos!K17+Datos!AE17)," - ")</f>
        <v>57</v>
      </c>
      <c r="H17" s="404">
        <f>IF(ISNUMBER(G17/B17),G17/B17," - ")</f>
        <v>57</v>
      </c>
      <c r="I17" s="403">
        <f>IF(ISNUMBER(IF(D_I="SI",Datos!L17,Datos!L17+Datos!AF17)),IF(D_I="SI",Datos!L17,Datos!L17+Datos!AF17)," - ")</f>
        <v>41</v>
      </c>
      <c r="J17" s="404">
        <f>IF(ISNUMBER(I17/B17),I17/B17," - ")</f>
        <v>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905</v>
      </c>
      <c r="D18" s="850" t="str">
        <f>IF(ISNUMBER(C18/Datos!BI18),C18/Datos!BI18," - ")</f>
        <v xml:space="preserve"> - </v>
      </c>
      <c r="E18" s="849">
        <f>SUBTOTAL(9,E14:E17)</f>
        <v>441</v>
      </c>
      <c r="F18" s="850">
        <f>IF(ISNUMBER(E18/B18),E18/B18," - ")</f>
        <v>220.5</v>
      </c>
      <c r="G18" s="849">
        <f>SUBTOTAL(9,G14:G17)</f>
        <v>379</v>
      </c>
      <c r="H18" s="850">
        <f>IF(ISNUMBER(G18/B18),G18/B18," - ")</f>
        <v>189.5</v>
      </c>
      <c r="I18" s="849">
        <f>SUBTOTAL(9,I14:I17)</f>
        <v>967</v>
      </c>
      <c r="J18" s="850">
        <f>IF(ISNUMBER(I18/B18),I18/B18," - ")</f>
        <v>483.5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3237</v>
      </c>
      <c r="D19" s="795" t="str">
        <f>IF(ISNUMBER(C19/Datos!BI19),C19/Datos!BI19," - ")</f>
        <v xml:space="preserve"> - </v>
      </c>
      <c r="E19" s="794">
        <f>SUBTOTAL(9,E9:E18)</f>
        <v>882</v>
      </c>
      <c r="F19" s="795">
        <f>IF(ISNUMBER(E19/B19),E19/B19," - ")</f>
        <v>441</v>
      </c>
      <c r="G19" s="794">
        <f>SUBTOTAL(9,G9:G18)</f>
        <v>709</v>
      </c>
      <c r="H19" s="795">
        <f>IF(ISNUMBER(G19/B19),G19/B19," - ")</f>
        <v>354.5</v>
      </c>
      <c r="I19" s="794">
        <f>SUBTOTAL(9,I9:I18)</f>
        <v>3410</v>
      </c>
      <c r="J19" s="795">
        <f>IF(ISNUMBER(I19/B19),I19/B19," - ")</f>
        <v>1705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b9QPGlhPYjOBih8FcW807U32aGxPVGotbJh+pEOYpj2P5/pQca7IJH4+I7Q4X0YzucJhjGki+Mbjy5bruVyQ==" saltValue="E+hBLqkD5rH08c0b9KqM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MARTOS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v>
      </c>
      <c r="AM12" s="690">
        <f>IF(ISNUMBER(Datos!N12+DatosP!N16),Datos!N12+DatosP!N16," - ")</f>
        <v>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14.929663608562691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4.7272727272727272E-2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40</v>
      </c>
      <c r="AE13" s="939">
        <f t="shared" si="1"/>
        <v>0</v>
      </c>
      <c r="AF13" s="939">
        <f t="shared" si="1"/>
        <v>2</v>
      </c>
      <c r="AG13" s="939">
        <f t="shared" si="1"/>
        <v>0</v>
      </c>
      <c r="AH13" s="939">
        <f t="shared" si="1"/>
        <v>1152</v>
      </c>
      <c r="AI13" s="939">
        <f t="shared" si="1"/>
        <v>0</v>
      </c>
      <c r="AJ13" s="939">
        <f t="shared" si="1"/>
        <v>0</v>
      </c>
      <c r="AK13" s="939">
        <f t="shared" si="1"/>
        <v>0</v>
      </c>
      <c r="AL13" s="939">
        <f t="shared" si="1"/>
        <v>84</v>
      </c>
      <c r="AM13" s="939">
        <f t="shared" si="1"/>
        <v>66</v>
      </c>
      <c r="AN13" s="939">
        <f t="shared" si="1"/>
        <v>0</v>
      </c>
      <c r="AO13" s="939">
        <f t="shared" si="1"/>
        <v>0</v>
      </c>
      <c r="AP13" s="944">
        <f>IF(ISNUMBER(((Datos!L13/Datos!K13)*11)/factor_trimestre),((Datos!L13/Datos!K13)*11)/factor_trimestre," - ")</f>
        <v>14.878504672897197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4.7272727272727272E-2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5.1029023746701849</v>
      </c>
      <c r="AQ18" s="944">
        <f>IF(ISNUMBER(((Datos!M18/Datos!L18)*11)/factor_trimestre),((Datos!M18/Datos!L18)*11)/factor_trimestre," - ")</f>
        <v>0.12616339193381593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-0.18571428571428572</v>
      </c>
      <c r="AW18" s="946">
        <f>IF(ISNUMBER((Datos!Q18-Datos!R18)/(Datos!S18-Datos!Q18+Datos!R18)),(Datos!Q18-Datos!R18)/(Datos!S18-Datos!Q18+Datos!R18)," - ")</f>
        <v>-5.909797822706065E-2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40</v>
      </c>
      <c r="AE19" s="957">
        <f t="shared" si="5"/>
        <v>0</v>
      </c>
      <c r="AF19" s="958">
        <f t="shared" si="5"/>
        <v>2</v>
      </c>
      <c r="AG19" s="958">
        <f t="shared" si="5"/>
        <v>0</v>
      </c>
      <c r="AH19" s="958">
        <f t="shared" si="5"/>
        <v>1152</v>
      </c>
      <c r="AI19" s="958">
        <f t="shared" si="5"/>
        <v>0</v>
      </c>
      <c r="AJ19" s="959">
        <f t="shared" si="5"/>
        <v>0</v>
      </c>
      <c r="AK19" s="959">
        <f t="shared" si="5"/>
        <v>0</v>
      </c>
      <c r="AL19" s="951">
        <f t="shared" si="5"/>
        <v>84</v>
      </c>
      <c r="AM19" s="951">
        <f t="shared" si="5"/>
        <v>66</v>
      </c>
      <c r="AN19" s="951">
        <f t="shared" si="5"/>
        <v>0</v>
      </c>
      <c r="AO19" s="951">
        <f t="shared" si="5"/>
        <v>0</v>
      </c>
      <c r="AP19" s="951">
        <f>IF(ISNUMBER(((Datos!L19/Datos!K19)*11)/factor_trimestre),((Datos!L19/Datos!K19)*11)/factor_trimestre," - ")</f>
        <v>9.5857142857142854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3.2203389830508473E-2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46.797435827190363</v>
      </c>
      <c r="AM21" s="736"/>
      <c r="AN21" s="736">
        <f>IF(ISNUMBER(STDEV(AN8:AN18)),STDEV(AN8:AN18),"-")</f>
        <v>0</v>
      </c>
      <c r="AO21" s="742">
        <f>IF(ISNUMBER(STDEV(AO8:AO18)),STDEV(AO8:AO18),"-")</f>
        <v>0</v>
      </c>
      <c r="AP21" s="779">
        <f>IF(ISNUMBER(STDEV(AP8:AP18)),STDEV(AP8:AP18),"-")</f>
        <v>6.9202105471726689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hbk87BWRvmCpXegY6/mRLDrr2H4rf4cflgNYJaepuOOu7IIud4hb6ba99wVerFGQahJ+9ctdx6imZWDTRypvQ==" saltValue="9ivQXzp5Vb5ffb8f+Otf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MARTOS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0mcL6RzgJizsPLoAcf7j+WXX1Wm/EADaqxChkmA4eThUP4NmAW9VMKCuOnLIRNGuH5Ia43X3IZyLq0dY59OVA==" saltValue="fIK3VPs7S1n6Wx/Ci5T2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MARTOS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81</v>
      </c>
      <c r="E12" s="404">
        <f t="shared" si="0"/>
        <v>40.5</v>
      </c>
      <c r="F12" s="403">
        <f>IF(ISNUMBER(Datos!N12),Datos!N12," - ")</f>
        <v>66</v>
      </c>
      <c r="G12" s="404">
        <f t="shared" si="1"/>
        <v>33</v>
      </c>
      <c r="H12" s="403">
        <f>IF(ISNUMBER(Datos!O12),Datos!O12," - ")</f>
        <v>93</v>
      </c>
      <c r="I12" s="404">
        <f t="shared" si="2"/>
        <v>46.5</v>
      </c>
      <c r="BZ12" s="1186">
        <f>Datos!EZ12</f>
        <v>0</v>
      </c>
    </row>
    <row r="13" spans="1:78" ht="14.25" thickTop="1" thickBot="1">
      <c r="A13" s="848" t="str">
        <f>Datos!A13</f>
        <v>TOTAL</v>
      </c>
      <c r="B13" s="849">
        <f>Datos!AP13</f>
        <v>2</v>
      </c>
      <c r="C13" s="851">
        <f>Datos!AR13</f>
        <v>2</v>
      </c>
      <c r="D13" s="849">
        <f>SUBTOTAL(9,D9:D12)</f>
        <v>84</v>
      </c>
      <c r="E13" s="850">
        <f t="shared" si="0"/>
        <v>42</v>
      </c>
      <c r="F13" s="849">
        <f>SUBTOTAL(9,F9:F12)</f>
        <v>66</v>
      </c>
      <c r="G13" s="850">
        <f t="shared" si="1"/>
        <v>33</v>
      </c>
      <c r="H13" s="849">
        <f>SUBTOTAL(9,H9:H12)</f>
        <v>93</v>
      </c>
      <c r="I13" s="850">
        <f>IF(ISNUMBER(H13/B13),H13/B13," - ")</f>
        <v>46.5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53</v>
      </c>
      <c r="E16" s="404">
        <f t="shared" si="3"/>
        <v>26.5</v>
      </c>
      <c r="F16" s="403">
        <f>IF(ISNUMBER(Datos!N16),Datos!N16," - ")</f>
        <v>169</v>
      </c>
      <c r="G16" s="404">
        <f t="shared" si="4"/>
        <v>84.5</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61</v>
      </c>
      <c r="E18" s="850">
        <f t="shared" si="3"/>
        <v>30.5</v>
      </c>
      <c r="F18" s="849">
        <f>SUBTOTAL(9,F15:F17)</f>
        <v>207</v>
      </c>
      <c r="G18" s="850">
        <f t="shared" si="4"/>
        <v>103.5</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145</v>
      </c>
      <c r="E19" s="795">
        <f>IF(ISNUMBER(D19/B19),D19/B19," - ")</f>
        <v>72.5</v>
      </c>
      <c r="F19" s="794">
        <f>SUBTOTAL(9,F8:F18)</f>
        <v>273</v>
      </c>
      <c r="G19" s="795">
        <f>IF(ISNUMBER(F19/B19),F19/B19," - ")</f>
        <v>136.5</v>
      </c>
      <c r="H19" s="794">
        <f>SUBTOTAL(9,H8:H18)</f>
        <v>102</v>
      </c>
      <c r="I19" s="795">
        <f>IF(ISNUMBER(H19/B19),H19/B19," - ")</f>
        <v>51</v>
      </c>
    </row>
    <row r="22" spans="1:78">
      <c r="A22" s="391" t="str">
        <f>Criterios!A4</f>
        <v>Fecha Informe: 29 nov. 2024</v>
      </c>
    </row>
    <row r="27" spans="1:78">
      <c r="A27" s="414"/>
    </row>
  </sheetData>
  <sheetProtection algorithmName="SHA-512" hashValue="qkDgJT905NwpatGVh7OR4mLcku8n4dyjtE/EnajyIYFwtkSL631Kc3D33nDHd/Ainq8AT7/ZzWvSg2bCsn0y8Q==" saltValue="H8e3GBidKP0Y45z/bSKs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MARTOS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92</v>
      </c>
      <c r="C12" s="434">
        <f>IF(ISNUMBER(Datos!Q12),Datos!Q12," - ")</f>
        <v>40</v>
      </c>
      <c r="D12" s="408">
        <f>IF(ISNUMBER(Datos!R12),Datos!R12," - ")</f>
        <v>1152</v>
      </c>
    </row>
    <row r="13" spans="1:4" ht="14.25" thickTop="1" thickBot="1">
      <c r="A13" s="848" t="str">
        <f>Datos!A13</f>
        <v>TOTAL</v>
      </c>
      <c r="B13" s="849">
        <f>SUBTOTAL(9,B9:B12)</f>
        <v>92</v>
      </c>
      <c r="C13" s="853">
        <f>SUBTOTAL(9,C9:C12)</f>
        <v>41</v>
      </c>
      <c r="D13" s="851">
        <f>SUBTOTAL(9,D9:D12)</f>
        <v>1161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19</v>
      </c>
      <c r="D16" s="408">
        <f>IF(ISNUMBER(Datos!R16),Datos!R16," - ")</f>
        <v>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19</v>
      </c>
      <c r="D18" s="851">
        <f>SUBTOTAL(9,D15:D17)</f>
        <v>57</v>
      </c>
    </row>
    <row r="19" spans="1:4" ht="16.5" customHeight="1" thickTop="1" thickBot="1">
      <c r="A19" s="793" t="str">
        <f>Datos!A19</f>
        <v>TOTAL JURISDICCIONES</v>
      </c>
      <c r="B19" s="798">
        <f>SUBTOTAL(9,B8:B18)</f>
        <v>98</v>
      </c>
      <c r="C19" s="799">
        <f>SUBTOTAL(9,C8:C18)</f>
        <v>60</v>
      </c>
      <c r="D19" s="800">
        <f>SUBTOTAL(9,D8:D18)</f>
        <v>1218</v>
      </c>
    </row>
    <row r="20" spans="1:4" ht="7.5" customHeight="1"/>
    <row r="21" spans="1:4" ht="6" customHeight="1"/>
    <row r="22" spans="1:4">
      <c r="A22" s="391" t="str">
        <f>Criterios!A4</f>
        <v>Fecha Informe: 29 nov. 2024</v>
      </c>
    </row>
    <row r="27" spans="1:4">
      <c r="A27" s="414"/>
    </row>
  </sheetData>
  <sheetProtection algorithmName="SHA-512" hashValue="PeXI19hBsn6xEOwsKLUl348+Wm7JlU0ODRpu7YyEVOR+YSe/iFH3T+7IpDBs573IBMSrnXGwlGkqCOB8ICx+YQ==" saltValue="ymmFnZvQf0ybUHxFC8eU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MARTOS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v>
      </c>
      <c r="C10" s="456">
        <f>IF(ISNUMBER((Datos!J10-Datos!T10)/Datos!T10),(Datos!J10-Datos!T10)/Datos!T10," - ")</f>
        <v>-1</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0.68990559186637623</v>
      </c>
      <c r="C12" s="456">
        <f>IF(ISNUMBER(
   IF(J_V="SI",(Datos!J12-Datos!T12)/Datos!T12,(Datos!J12+Datos!Z12-(Datos!T12+Datos!AH12))/(Datos!T12+Datos!AH12))
     ),IF(J_V="SI",(Datos!J12-Datos!T12)/Datos!T12,(Datos!J12+Datos!Z12-(Datos!T12+Datos!AH12))/(Datos!T12+Datos!AH12))," - ")</f>
        <v>0.22500000000000001</v>
      </c>
      <c r="D12" s="456">
        <f>IF(ISNUMBER(
   IF(J_V="SI",(Datos!K12-Datos!U12)/Datos!U12,(Datos!K12+Datos!AA12-(Datos!U12+Datos!AI12))/(Datos!U12+Datos!AI12))
     ),IF(J_V="SI",(Datos!K12-Datos!U12)/Datos!U12,(Datos!K12+Datos!AA12-(Datos!U12+Datos!AI12))/(Datos!U12+Datos!AI12))," - ")</f>
        <v>0.72105263157894739</v>
      </c>
      <c r="E12" s="456">
        <f>IF(ISNUMBER(
   IF(J_V="SI",(Datos!L12-Datos!V12)/Datos!V12,(Datos!L12+Datos!AB12-(Datos!V12+Datos!AJ12))/(Datos!V12+Datos!AJ12))
     ),IF(J_V="SI",(Datos!L12-Datos!V12)/Datos!V12,(Datos!L12+Datos!AB12-(Datos!V12+Datos!AJ12))/(Datos!V12+Datos!AJ12))," - ")</f>
        <v>0.57789269553975431</v>
      </c>
      <c r="F12" s="456">
        <f>IF(ISNUMBER((Datos!M12-Datos!W12)/Datos!W12),(Datos!M12-Datos!W12)/Datos!W12," - ")</f>
        <v>0.97560975609756095</v>
      </c>
      <c r="G12" s="457">
        <f>IF(ISNUMBER((Datos!N12-Datos!X12)/Datos!X12),(Datos!N12-Datos!X12)/Datos!X12," - ")</f>
        <v>0.22222222222222221</v>
      </c>
      <c r="H12" s="455">
        <f>IF(ISNUMBER(((NºAsuntos!G12/NºAsuntos!E12)-Datos!BD12)/Datos!BD12),((NºAsuntos!G12/NºAsuntos!E12)-Datos!BD12)/Datos!BD12," - ")</f>
        <v>0.40494092373791629</v>
      </c>
      <c r="I12" s="456">
        <f>IF(ISNUMBER(((NºAsuntos!I12/NºAsuntos!G12)-Datos!BE12)/Datos!BE12),((NºAsuntos!I12/NºAsuntos!G12)-Datos!BE12)/Datos!BE12," - ")</f>
        <v>-8.3181614212375091E-2</v>
      </c>
      <c r="J12" s="461">
        <f>IF(ISNUMBER((('Resol  Asuntos'!D12/NºAsuntos!G12)-Datos!BF12)/Datos!BF12),(('Resol  Asuntos'!D12/NºAsuntos!G12)-Datos!BF12)/Datos!BF12," - ")</f>
        <v>-0.12844036697247699</v>
      </c>
      <c r="K12" s="462">
        <f>IF(ISNUMBER((((NºAsuntos!C12+NºAsuntos!E12)/NºAsuntos!G12)-Datos!BG12)/Datos!BG12),(((NºAsuntos!C12+NºAsuntos!E12)/NºAsuntos!G12)-Datos!BG12)/Datos!BG12," - ")</f>
        <v>-7.4082876906473388E-2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0.69230769230769229</v>
      </c>
      <c r="C13" s="855">
        <f>IF(ISNUMBER(
   IF(J_V="SI",(Datos!J13-Datos!T13)/Datos!T13,(Datos!J13+Datos!Z13-(Datos!T13+Datos!AH13))/(Datos!T13+Datos!AH13))
     ),IF(J_V="SI",(Datos!J13-Datos!T13)/Datos!T13,(Datos!J13+Datos!Z13-(Datos!T13+Datos!AH13))/(Datos!T13+Datos!AH13))," - ")</f>
        <v>0.21823204419889503</v>
      </c>
      <c r="D13" s="855">
        <f>IF(ISNUMBER(
   IF(J_V="SI",(Datos!K13-Datos!U13)/Datos!U13,(Datos!K13+Datos!AA13-(Datos!U13+Datos!AI13))/(Datos!U13+Datos!AI13))
     ),IF(J_V="SI",(Datos!K13-Datos!U13)/Datos!U13,(Datos!K13+Datos!AA13-(Datos!U13+Datos!AI13))/(Datos!U13+Datos!AI13))," - ")</f>
        <v>0.73684210526315785</v>
      </c>
      <c r="E13" s="855">
        <f>IF(ISNUMBER(
   IF(J_V="SI",(Datos!L13-Datos!V13)/Datos!V13,(Datos!L13+Datos!AB13-(Datos!V13+Datos!AJ13))/(Datos!V13+Datos!AJ13))
     ),IF(J_V="SI",(Datos!L13-Datos!V13)/Datos!V13,(Datos!L13+Datos!AB13-(Datos!V13+Datos!AJ13))/(Datos!V13+Datos!AJ13))," - ")</f>
        <v>0.57612903225806456</v>
      </c>
      <c r="F13" s="856">
        <f>IF(ISNUMBER((Datos!M13-Datos!W13)/Datos!W13),(Datos!M13-Datos!W13)/Datos!W13," - ")</f>
        <v>1.0487804878048781</v>
      </c>
      <c r="G13" s="857">
        <f>IF(ISNUMBER((Datos!N13-Datos!X13)/Datos!X13),(Datos!N13-Datos!X13)/Datos!X13," - ")</f>
        <v>0.22222222222222221</v>
      </c>
      <c r="H13" s="857">
        <f>IF(ISNUMBER(((NºAsuntos!G13/NºAsuntos!E13)-Datos!BD13)/Datos!BD13),((NºAsuntos!G13/NºAsuntos!E13)-Datos!BD13)/Datos!BD13," - ")</f>
        <v>0.42570712495524538</v>
      </c>
      <c r="I13" s="857">
        <f>IF(ISNUMBER(((NºAsuntos!I13/NºAsuntos!G13)-Datos!BE13)/Datos!BE13),((NºAsuntos!I13/NºAsuntos!G13)-Datos!BE13)/Datos!BE13," - ")</f>
        <v>-9.2531769305962727E-2</v>
      </c>
      <c r="J13" s="857">
        <f>IF(ISNUMBER((('Resol  Asuntos'!D13/NºAsuntos!G13)-Datos!BF13)/Datos!BF13),(('Resol  Asuntos'!D13/NºAsuntos!G13)-Datos!BF13)/Datos!BF13," - ")</f>
        <v>-0.10437710437710446</v>
      </c>
      <c r="K13" s="857">
        <f>IF(ISNUMBER((((NºAsuntos!C13+NºAsuntos!E13)/NºAsuntos!G13)-Datos!BG13)/Datos!BG13),(((NºAsuntos!C13+NºAsuntos!E13)/NºAsuntos!G13)-Datos!BG13)/Datos!BG13," - ")</f>
        <v>-8.2427725531173793E-2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0.56395348837209303</v>
      </c>
      <c r="C16" s="456">
        <f>IF(ISNUMBER(
   IF(D_I="SI",(Datos!J16-Datos!T16)/Datos!T16,(Datos!J16+Datos!AD16-(Datos!T16+Datos!AL16))/(Datos!T16+Datos!AL16))
     ),IF(D_I="SI",(Datos!J16-Datos!T16)/Datos!T16,(Datos!J16+Datos!AD16-(Datos!T16+Datos!AL16))/(Datos!T16+Datos!AL16))," - ")</f>
        <v>-0.24744027303754265</v>
      </c>
      <c r="D16" s="456">
        <f>IF(ISNUMBER(
   IF(D_I="SI",(Datos!K16-Datos!U16)/Datos!U16,(Datos!K16+Datos!AE16-(Datos!U16+Datos!AM16))/(Datos!U16+Datos!AM16))
     ),IF(D_I="SI",(Datos!K16-Datos!U16)/Datos!U16,(Datos!K16+Datos!AE16-(Datos!U16+Datos!AM16))/(Datos!U16+Datos!AM16))," - ")</f>
        <v>-0.34151329243353784</v>
      </c>
      <c r="E16" s="456">
        <f>IF(ISNUMBER(
   IF(D_I="SI",(Datos!L16-Datos!V16)/Datos!V16,(Datos!L16+Datos!AF16-(Datos!V16+Datos!AN16))/(Datos!V16+Datos!AN16))
     ),IF(D_I="SI",(Datos!L16-Datos!V16)/Datos!V16,(Datos!L16+Datos!AF16-(Datos!V16+Datos!AN16))/(Datos!V16+Datos!AN16))," - ")</f>
        <v>0.51060358890701463</v>
      </c>
      <c r="F16" s="456">
        <f>IF(ISNUMBER((Datos!M16-Datos!W16)/Datos!W16),(Datos!M16-Datos!W16)/Datos!W16," - ")</f>
        <v>-8.6206896551724144E-2</v>
      </c>
      <c r="G16" s="457">
        <f>IF(ISNUMBER((Datos!N16-Datos!X16)/Datos!X16),(Datos!N16-Datos!X16)/Datos!X16," - ")</f>
        <v>-0.48</v>
      </c>
      <c r="H16" s="455">
        <f>IF(ISNUMBER(((NºAsuntos!G16/NºAsuntos!E16)-Datos!BD16)/Datos!BD16),((NºAsuntos!G16/NºAsuntos!E16)-Datos!BD16)/Datos!BD16," - ")</f>
        <v>-0.12500405751939497</v>
      </c>
      <c r="I16" s="456">
        <f>IF(ISNUMBER(((NºAsuntos!I16/NºAsuntos!G16)-Datos!BE16)/Datos!BE16),((NºAsuntos!I16/NºAsuntos!G16)-Datos!BE16)/Datos!BE16," - ")</f>
        <v>1.2940532763215227</v>
      </c>
      <c r="J16" s="461">
        <f>IF(ISNUMBER((('Resol  Asuntos'!D16/NºAsuntos!G16)-Datos!BF16)/Datos!BF16),(('Resol  Asuntos'!D16/NºAsuntos!G16)-Datos!BF16)/Datos!BF16," - ")</f>
        <v>0.38771685585778543</v>
      </c>
      <c r="K16" s="462">
        <f>IF(ISNUMBER((((NºAsuntos!C16+NºAsuntos!E16)/NºAsuntos!G16)-Datos!BG16)/Datos!BG16),(((NºAsuntos!C16+NºAsuntos!E16)/NºAsuntos!G16)-Datos!BG16)/Datos!BG16," - ")</f>
        <v>0.71983181341659996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0.10112359550561797</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-0.6339285714285714</v>
      </c>
      <c r="F17" s="456">
        <f>IF(ISNUMBER((Datos!M17-Datos!W17)/Datos!W17),(Datos!M17-Datos!W17)/Datos!W17," - ")</f>
        <v>-0.5</v>
      </c>
      <c r="G17" s="457">
        <f>IF(ISNUMBER((Datos!N17-Datos!X17)/Datos!X17),(Datos!N17-Datos!X17)/Datos!X17," - ")</f>
        <v>-0.46478873239436619</v>
      </c>
      <c r="H17" s="455" t="str">
        <f>IF(ISNUMBER(((NºAsuntos!G17/NºAsuntos!E17)-Datos!BD17)/Datos!BD17),((NºAsuntos!G17/NºAsuntos!E17)-Datos!BD17)/Datos!BD17," - ")</f>
        <v xml:space="preserve"> - </v>
      </c>
      <c r="I17" s="456">
        <f>IF(ISNUMBER(((NºAsuntos!I17/NºAsuntos!G17)-Datos!BE17)/Datos!BE17),((NºAsuntos!I17/NºAsuntos!G17)-Datos!BE17)/Datos!BE17," - ")</f>
        <v>-0.38988095238095233</v>
      </c>
      <c r="J17" s="461">
        <f>IF(ISNUMBER((('Resol  Asuntos'!D17/NºAsuntos!G17)-Datos!BF17)/Datos!BF17),(('Resol  Asuntos'!D17/NºAsuntos!G17)-Datos!BF17)/Datos!BF17," - ")</f>
        <v>-0.16666666666666669</v>
      </c>
      <c r="K17" s="462">
        <f>IF(ISNUMBER((((NºAsuntos!C17+NºAsuntos!E17)/NºAsuntos!G17)-Datos!BG17)/Datos!BG17),(((NºAsuntos!C17+NºAsuntos!E17)/NºAsuntos!G17)-Datos!BG17)/Datos!BG17," - ")</f>
        <v>-0.21095008051529793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0.49586776859504134</v>
      </c>
      <c r="C18" s="855">
        <f>IF(ISNUMBER(
   IF(Criterios!B14="SI",(Datos!J18-Datos!T18)/Datos!T18,(Datos!J18+Datos!AD18-(Datos!T18+Datos!AL18))/(Datos!T18+Datos!AL18))
     ),IF(Criterios!B14="SI",(Datos!J18-Datos!T18)/Datos!T18,(Datos!J18+Datos!AD18-(Datos!T18+Datos!AL18))/(Datos!T18+Datos!AL18))," - ")</f>
        <v>-0.37357954545454547</v>
      </c>
      <c r="D18" s="855">
        <f>IF(ISNUMBER(
   IF(Criterios!B14="SI",(Datos!K18-Datos!U18)/Datos!U18,(Datos!K18+Datos!AE18-(Datos!U18+Datos!AM18))/(Datos!U18+Datos!AM18))
     ),IF(Criterios!B14="SI",(Datos!K18-Datos!U18)/Datos!U18,(Datos!K18+Datos!AE18-(Datos!U18+Datos!AM18))/(Datos!U18+Datos!AM18))," - ")</f>
        <v>-0.35102739726027399</v>
      </c>
      <c r="E18" s="855">
        <f>IF(ISNUMBER(
   IF(Criterios!B14="SI",(Datos!L18-Datos!V18)/Datos!V18,(Datos!L18+Datos!AF18-(Datos!V18+Datos!AN18))/(Datos!V18+Datos!AN18))
     ),IF(Criterios!B14="SI",(Datos!L18-Datos!V18)/Datos!V18,(Datos!L18+Datos!AF18-(Datos!V18+Datos!AN18))/(Datos!V18+Datos!AN18))," - ")</f>
        <v>0.33379310344827584</v>
      </c>
      <c r="F18" s="856">
        <f>IF(ISNUMBER((Datos!M18-Datos!W18)/Datos!W18),(Datos!M18-Datos!W18)/Datos!W18," - ")</f>
        <v>-0.17567567567567569</v>
      </c>
      <c r="G18" s="857">
        <f>IF(ISNUMBER((Datos!N18-Datos!X18)/Datos!X18),(Datos!N18-Datos!X18)/Datos!X18," - ")</f>
        <v>-0.47727272727272729</v>
      </c>
      <c r="H18" s="857">
        <f>IF(ISNUMBER(((NºAsuntos!G18/NºAsuntos!E18)-Datos!BD18)/Datos!BD18),((NºAsuntos!G18/NºAsuntos!E18)-Datos!BD18)/Datos!BD18," - ")</f>
        <v>3.6001615257975274E-2</v>
      </c>
      <c r="I18" s="857">
        <f>IF(ISNUMBER(((NºAsuntos!I18/NºAsuntos!G18)-Datos!BE18)/Datos!BE18),((NºAsuntos!I18/NºAsuntos!G18)-Datos!BE18)/Datos!BE18," - ")</f>
        <v>1.0552379219361296</v>
      </c>
      <c r="J18" s="857">
        <f>IF(ISNUMBER((('Resol  Asuntos'!D18/NºAsuntos!G18)-Datos!BF18)/Datos!BF18),(('Resol  Asuntos'!D18/NºAsuntos!G18)-Datos!BF18)/Datos!BF18," - ")</f>
        <v>0.2701989588533123</v>
      </c>
      <c r="K18" s="857">
        <f>IF(ISNUMBER((((NºAsuntos!C18+NºAsuntos!E18)/NºAsuntos!G18)-Datos!BG18)/Datos!BG18),(((NºAsuntos!C18+NºAsuntos!E18)/NºAsuntos!G18)-Datos!BG18)/Datos!BG18," - ")</f>
        <v>0.5844518666185593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0.63237518910741297</v>
      </c>
      <c r="C19" s="802">
        <f>IF(ISNUMBER(
   IF(J_V="SI",(Datos!J19-Datos!T19)/Datos!T19,(Datos!J19+Datos!Z19-(Datos!T19+Datos!AH19))/(Datos!T19+Datos!AH19))
     ),IF(J_V="SI",(Datos!J19-Datos!T19)/Datos!T19,(Datos!J19+Datos!Z19-(Datos!T19+Datos!AH19))/(Datos!T19+Datos!AH19))," - ")</f>
        <v>-0.17260787992495311</v>
      </c>
      <c r="D19" s="802">
        <f>IF(ISNUMBER(
   IF(J_V="SI",(Datos!K19-Datos!U19)/Datos!U19,(Datos!K19+Datos!AA19-(Datos!U19+Datos!AI19))/(Datos!U19+Datos!AI19))
     ),IF(J_V="SI",(Datos!K19-Datos!U19)/Datos!U19,(Datos!K19+Datos!AA19-(Datos!U19+Datos!AI19))/(Datos!U19+Datos!AI19))," - ")</f>
        <v>-8.3979328165374678E-2</v>
      </c>
      <c r="E19" s="802">
        <f>IF(ISNUMBER(
   IF(J_V="SI",(Datos!L19-Datos!V19)/Datos!V19,(Datos!L19+Datos!AB19-(Datos!V19+Datos!AJ19))/(Datos!V19+Datos!AJ19))
     ),IF(J_V="SI",(Datos!L19-Datos!V19)/Datos!V19,(Datos!L19+Datos!AB19-(Datos!V19+Datos!AJ19))/(Datos!V19+Datos!AJ19))," - ")</f>
        <v>0.49890109890109891</v>
      </c>
      <c r="F19" s="803">
        <f>IF(ISNUMBER((Datos!M19-Datos!W19)/Datos!W19),(Datos!M19-Datos!W19)/Datos!W19," - ")</f>
        <v>0.2608695652173913</v>
      </c>
      <c r="G19" s="804">
        <f>IF(ISNUMBER((Datos!N19-Datos!X19)/Datos!X19),(Datos!N19-Datos!X19)/Datos!X19," - ")</f>
        <v>-0.39333333333333331</v>
      </c>
      <c r="H19" s="805">
        <f>IF(ISNUMBER((Tasas!B19-Datos!BD19)/Datos!BD19),(Tasas!B19-Datos!BD19)/Datos!BD19," - ")</f>
        <v>0.10711795484774432</v>
      </c>
      <c r="I19" s="806">
        <f>IF(ISNUMBER((Tasas!C19-Datos!BE19)/Datos!BE19),(Tasas!C19-Datos!BE19)/Datos!BE19," - ")</f>
        <v>0.63631798384971872</v>
      </c>
      <c r="J19" s="807">
        <f>IF(ISNUMBER((Tasas!D19-Datos!BF19)/Datos!BF19),(Tasas!D19-Datos!BF19)/Datos!BF19," - ")</f>
        <v>0.23666696050775729</v>
      </c>
      <c r="K19" s="807">
        <f>IF(ISNUMBER((Tasas!E19-Datos!BG19)/Datos!BG19),(Tasas!E19-Datos!BG19)/Datos!BG19," - ")</f>
        <v>0.47478629493542474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qu7SGKbBj+jr0CT4tZP5JcXCXqYKmtugY/eLQukqYnCIcgM8RS9nnkMxrYDOtnwLLSHoaztr548DMAkj8Vgfg==" saltValue="0cIYivGjh2ac17GYB4Q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MARTOS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0.66666666666666663</v>
      </c>
      <c r="D10" s="444">
        <f>IF(ISNUMBER('Resol  Asuntos'!D10/NºAsuntos!G10),'Resol  Asuntos'!D10/NºAsuntos!G10," - ")</f>
        <v>1</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0.74149659863945583</v>
      </c>
      <c r="C12" s="443">
        <f>IF(ISNUMBER(NºAsuntos!I12/NºAsuntos!G12),NºAsuntos!I12/NºAsuntos!G12," - ")</f>
        <v>7.4648318042813457</v>
      </c>
      <c r="D12" s="444">
        <f>IF(ISNUMBER('Resol  Asuntos'!D12/NºAsuntos!G12),'Resol  Asuntos'!D12/NºAsuntos!G12," - ")</f>
        <v>0.24770642201834864</v>
      </c>
      <c r="E12" s="445">
        <f>IF(ISNUMBER((NºAsuntos!C12+NºAsuntos!E12)/NºAsuntos!G12),(NºAsuntos!C12+NºAsuntos!E12)/NºAsuntos!G12," - ")</f>
        <v>8.4648318042813457</v>
      </c>
      <c r="G12" s="463"/>
    </row>
    <row r="13" spans="1:7" ht="14.25" thickTop="1" thickBot="1">
      <c r="A13" s="848" t="str">
        <f>Datos!A13</f>
        <v>TOTAL</v>
      </c>
      <c r="B13" s="858">
        <f>IF(ISNUMBER(NºAsuntos!G13/NºAsuntos!E13),NºAsuntos!G13/NºAsuntos!E13," - ")</f>
        <v>0.74829931972789121</v>
      </c>
      <c r="C13" s="859">
        <f>IF(ISNUMBER(NºAsuntos!I13/NºAsuntos!G13),NºAsuntos!I13/NºAsuntos!G13," - ")</f>
        <v>7.4030303030303033</v>
      </c>
      <c r="D13" s="860">
        <f>IF(ISNUMBER('Resol  Asuntos'!D13/NºAsuntos!G13),'Resol  Asuntos'!D13/NºAsuntos!G13," - ")</f>
        <v>0.25454545454545452</v>
      </c>
      <c r="E13" s="861">
        <f>IF(ISNUMBER((NºAsuntos!C13+NºAsuntos!E13)/NºAsuntos!G13),(NºAsuntos!C13+NºAsuntos!E13)/NºAsuntos!G13," - ")</f>
        <v>8.4030303030303024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0.73015873015873012</v>
      </c>
      <c r="C16" s="443">
        <f>IF(ISNUMBER(NºAsuntos!I16/NºAsuntos!G16),NºAsuntos!I16/NºAsuntos!G16," - ")</f>
        <v>2.8757763975155282</v>
      </c>
      <c r="D16" s="444">
        <f>IF(ISNUMBER('Resol  Asuntos'!D16/NºAsuntos!G16),'Resol  Asuntos'!D16/NºAsuntos!G16," - ")</f>
        <v>0.16459627329192547</v>
      </c>
      <c r="E16" s="445">
        <f>IF(ISNUMBER((NºAsuntos!C16+NºAsuntos!E16)/NºAsuntos!G16),(NºAsuntos!C16+NºAsuntos!E16)/NºAsuntos!G16," - ")</f>
        <v>3.8757763975155282</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0.7192982456140351</v>
      </c>
      <c r="D17" s="444">
        <f>IF(ISNUMBER('Resol  Asuntos'!D17/NºAsuntos!G17),'Resol  Asuntos'!D17/NºAsuntos!G17," - ")</f>
        <v>0.14035087719298245</v>
      </c>
      <c r="E17" s="445">
        <f>IF(ISNUMBER((NºAsuntos!C17+NºAsuntos!E17)/NºAsuntos!G17),(NºAsuntos!C17+NºAsuntos!E17)/NºAsuntos!G17," - ")</f>
        <v>1.7192982456140351</v>
      </c>
      <c r="G17" s="463"/>
    </row>
    <row r="18" spans="1:7" ht="14.25" thickTop="1" thickBot="1">
      <c r="A18" s="848" t="str">
        <f>Datos!A18</f>
        <v>TOTAL</v>
      </c>
      <c r="B18" s="858">
        <f>IF(ISNUMBER(NºAsuntos!G18/NºAsuntos!E18),NºAsuntos!G18/NºAsuntos!E18," - ")</f>
        <v>0.85941043083900226</v>
      </c>
      <c r="C18" s="859">
        <f>IF(ISNUMBER(NºAsuntos!I18/NºAsuntos!G18),NºAsuntos!I18/NºAsuntos!G18," - ")</f>
        <v>2.5514511873350925</v>
      </c>
      <c r="D18" s="862">
        <f>IF(ISNUMBER('Resol  Asuntos'!D18/NºAsuntos!G18),'Resol  Asuntos'!D18/NºAsuntos!G18," - ")</f>
        <v>0.16094986807387862</v>
      </c>
      <c r="E18" s="861">
        <f>IF(ISNUMBER((NºAsuntos!C18+NºAsuntos!E18)/NºAsuntos!G18),(NºAsuntos!C18+NºAsuntos!E18)/NºAsuntos!G18," - ")</f>
        <v>3.5514511873350925</v>
      </c>
      <c r="G18" s="463"/>
    </row>
    <row r="19" spans="1:7" ht="15.75" customHeight="1" thickTop="1" thickBot="1">
      <c r="A19" s="793" t="str">
        <f>Datos!A19</f>
        <v>TOTAL JURISDICCIONES</v>
      </c>
      <c r="B19" s="808">
        <f>IF(ISNUMBER(NºAsuntos!G19/NºAsuntos!E19),NºAsuntos!G19/NºAsuntos!E19," - ")</f>
        <v>0.80385487528344668</v>
      </c>
      <c r="C19" s="809">
        <f>IF(ISNUMBER(NºAsuntos!I19/NºAsuntos!G19),NºAsuntos!I19/NºAsuntos!G19," - ")</f>
        <v>4.8095909732016926</v>
      </c>
      <c r="D19" s="810">
        <f>IF(ISNUMBER('Resol  Asuntos'!D19/NºAsuntos!G19),'Resol  Asuntos'!D19/NºAsuntos!G19," - ")</f>
        <v>0.20451339915373765</v>
      </c>
      <c r="E19" s="811">
        <f>IF(ISNUMBER((NºAsuntos!C19+NºAsuntos!E19)/NºAsuntos!G19),(NºAsuntos!C19+NºAsuntos!E19)/NºAsuntos!G19," - ")</f>
        <v>5.8095909732016926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R2zUYfBenuOx10aU+Jc8J3c+EUaGcVz5eUK0Q/aqH29AWGfXLJ9wF/2ebcj9PjlNdb/5qfX18nnyH4xSMdE3Q==" saltValue="zUZD6VuY/+lFN5V+4YLG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MARTOS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2</v>
      </c>
      <c r="AB10" s="334">
        <f>IF(ISNUMBER(Datos!R10),Datos!R10," - ")</f>
        <v>9</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1.3333333333333333</v>
      </c>
      <c r="AN10" s="244">
        <f>IF(ISNUMBER('Resol  Asuntos'!D10/NºAsuntos!G10),'Resol  Asuntos'!D10/NºAsuntos!G10," - ")</f>
        <v>1</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v>
      </c>
      <c r="AJ12" s="229" t="str">
        <f>IF(ISNUMBER(Datos!BW12),Datos!BW12," - ")</f>
        <v xml:space="preserve"> - </v>
      </c>
      <c r="AK12" s="228" t="str">
        <f>IF(ISNUMBER(Datos!BX12),Datos!BX12," - ")</f>
        <v xml:space="preserve"> - </v>
      </c>
      <c r="AL12" s="243">
        <f>IF(ISNUMBER(NºAsuntos!G12/NºAsuntos!E12),NºAsuntos!G12/NºAsuntos!E12," - ")</f>
        <v>0.74149659863945583</v>
      </c>
      <c r="AM12" s="260">
        <f>IF(ISNUMBER(((NºAsuntos!I12/NºAsuntos!G12)*11)/factor_trimestre),((NºAsuntos!I12/NºAsuntos!G12)*11)/factor_trimestre," - ")</f>
        <v>14.929663608562691</v>
      </c>
      <c r="AN12" s="244">
        <f>IF(ISNUMBER('Resol  Asuntos'!D12/NºAsuntos!G12),'Resol  Asuntos'!D12/NºAsuntos!G12," - ")</f>
        <v>0.24770642201834864</v>
      </c>
      <c r="AO12" s="245">
        <f>IF(ISNUMBER((NºAsuntos!C12+NºAsuntos!E12)/NºAsuntos!G12),(NºAsuntos!C12+NºAsuntos!E12)/NºAsuntos!G12," - ")</f>
        <v>8.4648318042813457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41</v>
      </c>
      <c r="Y13" s="868">
        <f t="shared" si="4"/>
        <v>44</v>
      </c>
      <c r="Z13" s="868">
        <f t="shared" si="4"/>
        <v>0</v>
      </c>
      <c r="AA13" s="868">
        <f t="shared" si="4"/>
        <v>2</v>
      </c>
      <c r="AB13" s="868">
        <f t="shared" si="4"/>
        <v>1161</v>
      </c>
      <c r="AC13" s="868">
        <f t="shared" si="4"/>
        <v>11</v>
      </c>
      <c r="AD13" s="868">
        <f t="shared" si="4"/>
        <v>0</v>
      </c>
      <c r="AE13" s="872">
        <f t="shared" si="4"/>
        <v>0</v>
      </c>
      <c r="AF13" s="865">
        <f t="shared" si="4"/>
        <v>0</v>
      </c>
      <c r="AG13" s="873">
        <f t="shared" si="4"/>
        <v>0</v>
      </c>
      <c r="AH13" s="870">
        <f t="shared" si="4"/>
        <v>0</v>
      </c>
      <c r="AI13" s="865">
        <f t="shared" si="4"/>
        <v>84</v>
      </c>
      <c r="AJ13" s="867">
        <f t="shared" si="4"/>
        <v>0</v>
      </c>
      <c r="AK13" s="870">
        <f>SUBTOTAL(9,AK9:AK12)</f>
        <v>0</v>
      </c>
      <c r="AL13" s="874">
        <f>IF(ISNUMBER(NºAsuntos!G13/NºAsuntos!E13),NºAsuntos!G13/NºAsuntos!E13," - ")</f>
        <v>0.74829931972789121</v>
      </c>
      <c r="AM13" s="874">
        <f>IF(ISNUMBER(((NºAsuntos!I13/NºAsuntos!G13)*11)/factor_trimestre),((NºAsuntos!I13/NºAsuntos!G13)*11)/factor_trimestre," - ")</f>
        <v>14.806060606060607</v>
      </c>
      <c r="AN13" s="875">
        <f>IF(ISNUMBER('Resol  Asuntos'!D13/NºAsuntos!G13),'Resol  Asuntos'!D13/NºAsuntos!G13," - ")</f>
        <v>0.25454545454545452</v>
      </c>
      <c r="AO13" s="876">
        <f>IF(ISNUMBER((NºAsuntos!C13+NºAsuntos!E13)/NºAsuntos!G13),(NºAsuntos!C13+NºAsuntos!E13)/NºAsuntos!G13," - ")</f>
        <v>8.4030303030303024</v>
      </c>
      <c r="AP13" s="877" t="str">
        <f t="shared" si="2"/>
        <v xml:space="preserve"> - </v>
      </c>
      <c r="AQ13" s="877">
        <f>IF(ISNUMBER((H13-W13+K13)/(F13)),(H13-W13+K13)/(F13)," - ")</f>
        <v>-0.6</v>
      </c>
      <c r="AR13" s="878">
        <f>IF(ISNUMBER((Datos!P13-Datos!Q13)/(Datos!R13-Datos!P13+Datos!Q13)),(Datos!P13-Datos!Q13)/(Datos!R13-Datos!P13+Datos!Q13)," - ")</f>
        <v>4.5945945945945948E-2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807</v>
      </c>
      <c r="G16" s="333">
        <f>IF(ISNUMBER(IF(D_I="SI",Datos!I16,Datos!I16+Datos!AC16)),IF(D_I="SI",Datos!I16,Datos!I16+Datos!AC16)," - ")</f>
        <v>807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322</v>
      </c>
      <c r="X16" s="226">
        <f>IF(ISNUMBER(Datos!Q16),Datos!Q16," - ")</f>
        <v>19</v>
      </c>
      <c r="Y16" s="334">
        <f t="shared" ref="Y16:Y17" si="7">SUM(W16:X16)</f>
        <v>341</v>
      </c>
      <c r="Z16" s="335" t="str">
        <f>IF(ISNUMBER(Datos!CC16),Datos!CC16," - ")</f>
        <v xml:space="preserve"> - </v>
      </c>
      <c r="AA16" s="332">
        <f>IF(ISNUMBER(IF(D_I="SI",Datos!L16,Datos!L16+Datos!AF16)),IF(D_I="SI",Datos!L16,Datos!L16+Datos!AF16)," - ")</f>
        <v>926</v>
      </c>
      <c r="AB16" s="334">
        <f>IF(ISNUMBER(Datos!R16),Datos!R16," - ")</f>
        <v>57</v>
      </c>
      <c r="AC16" s="334">
        <f t="shared" si="6"/>
        <v>983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0.73015873015873012</v>
      </c>
      <c r="AM16" s="260">
        <f>IF(ISNUMBER(((NºAsuntos!I16/NºAsuntos!G16)*11)/factor_trimestre),((NºAsuntos!I16/NºAsuntos!G16)*11)/factor_trimestre," - ")</f>
        <v>5.7515527950310563</v>
      </c>
      <c r="AN16" s="244">
        <f>IF(ISNUMBER('Resol  Asuntos'!D16/NºAsuntos!G16),'Resol  Asuntos'!D16/NºAsuntos!G16," - ")</f>
        <v>0.16459627329192547</v>
      </c>
      <c r="AO16" s="245">
        <f>IF(ISNUMBER((NºAsuntos!C16+NºAsuntos!E16)/NºAsuntos!G16),(NºAsuntos!C16+NºAsuntos!E16)/NºAsuntos!G16," - ")</f>
        <v>3.8757763975155282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41</v>
      </c>
      <c r="AB17" s="334">
        <f>IF(ISNUMBER(Datos!R17),Datos!R17," - ")</f>
        <v>0</v>
      </c>
      <c r="AC17" s="334">
        <f t="shared" si="6"/>
        <v>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1.4385964912280702</v>
      </c>
      <c r="AN17" s="244">
        <f>IF(ISNUMBER('Resol  Asuntos'!D17/NºAsuntos!G17),'Resol  Asuntos'!D17/NºAsuntos!G17," - ")</f>
        <v>0.14035087719298245</v>
      </c>
      <c r="AO17" s="245">
        <f>IF(ISNUMBER((NºAsuntos!C17+NºAsuntos!E17)/NºAsuntos!G17),(NºAsuntos!C17+NºAsuntos!E17)/NºAsuntos!G17," - ")</f>
        <v>1.7192982456140351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807</v>
      </c>
      <c r="G18" s="866">
        <f>SUBTOTAL(9,G15:G17)</f>
        <v>905</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379</v>
      </c>
      <c r="X18" s="867">
        <f t="shared" si="11"/>
        <v>19</v>
      </c>
      <c r="Y18" s="868">
        <f t="shared" si="11"/>
        <v>398</v>
      </c>
      <c r="Z18" s="868">
        <f t="shared" si="11"/>
        <v>0</v>
      </c>
      <c r="AA18" s="868">
        <f t="shared" si="11"/>
        <v>967</v>
      </c>
      <c r="AB18" s="868">
        <f t="shared" si="11"/>
        <v>57</v>
      </c>
      <c r="AC18" s="868">
        <f t="shared" si="11"/>
        <v>1024</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0.85941043083900226</v>
      </c>
      <c r="AM18" s="874">
        <f>IF(ISNUMBER(((NºAsuntos!I18/NºAsuntos!G18)*11)/factor_trimestre),((NºAsuntos!I18/NºAsuntos!G18)*11)/factor_trimestre," - ")</f>
        <v>5.1029023746701849</v>
      </c>
      <c r="AN18" s="875">
        <f>IF(ISNUMBER('Resol  Asuntos'!D18/NºAsuntos!G18),'Resol  Asuntos'!D18/NºAsuntos!G18," - ")</f>
        <v>0.16094986807387862</v>
      </c>
      <c r="AO18" s="876">
        <f>IF(ISNUMBER((NºAsuntos!C18+NºAsuntos!E18)/NºAsuntos!G18),(NºAsuntos!C18+NºAsuntos!E18)/NºAsuntos!G18," - ")</f>
        <v>3.5514511873350925</v>
      </c>
      <c r="AP18" s="877" t="str">
        <f t="shared" si="2"/>
        <v xml:space="preserve"> - </v>
      </c>
      <c r="AQ18" s="877">
        <f>IF(ISNUMBER((H18-W18+K18)/(F18)),(H18-W18+K18)/(F18)," - ")</f>
        <v>-0.46964064436183395</v>
      </c>
      <c r="AR18" s="878">
        <f>IF(ISNUMBER((Datos!P18-Datos!Q18)/(Datos!R18-Datos!P18+Datos!Q18)),(Datos!P18-Datos!Q18)/(Datos!R18-Datos!P18+Datos!Q18)," - ")</f>
        <v>-0.18571428571428572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812</v>
      </c>
      <c r="G19" s="821">
        <f t="shared" si="13"/>
        <v>910</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382</v>
      </c>
      <c r="X19" s="821">
        <f t="shared" si="14"/>
        <v>60</v>
      </c>
      <c r="Y19" s="828">
        <f t="shared" si="14"/>
        <v>442</v>
      </c>
      <c r="Z19" s="828">
        <f t="shared" si="14"/>
        <v>0</v>
      </c>
      <c r="AA19" s="828">
        <f t="shared" si="14"/>
        <v>969</v>
      </c>
      <c r="AB19" s="828">
        <f t="shared" si="14"/>
        <v>1218</v>
      </c>
      <c r="AC19" s="828">
        <f t="shared" si="14"/>
        <v>1035</v>
      </c>
      <c r="AD19" s="828">
        <f t="shared" si="14"/>
        <v>0</v>
      </c>
      <c r="AE19" s="830">
        <f t="shared" si="14"/>
        <v>0</v>
      </c>
      <c r="AF19" s="831">
        <f t="shared" si="14"/>
        <v>0</v>
      </c>
      <c r="AG19" s="832">
        <f t="shared" si="14"/>
        <v>0</v>
      </c>
      <c r="AH19" s="830">
        <f t="shared" si="14"/>
        <v>0</v>
      </c>
      <c r="AI19" s="820">
        <f t="shared" si="14"/>
        <v>145</v>
      </c>
      <c r="AJ19" s="820">
        <f t="shared" si="14"/>
        <v>0</v>
      </c>
      <c r="AK19" s="830">
        <f t="shared" si="14"/>
        <v>0</v>
      </c>
      <c r="AL19" s="884">
        <f>IF(ISNUMBER(NºAsuntos!G19/NºAsuntos!E19),NºAsuntos!G19/NºAsuntos!E19," - ")</f>
        <v>0.80385487528344668</v>
      </c>
      <c r="AM19" s="885">
        <f>IF(ISNUMBER(((NºAsuntos!I19/NºAsuntos!G19)*11)/factor_trimestre),((NºAsuntos!I19/NºAsuntos!G19)*11)/factor_trimestre," - ")</f>
        <v>9.6191819464033852</v>
      </c>
      <c r="AN19" s="885">
        <f>IF(ISNUMBER('Resol  Asuntos'!D19/NºAsuntos!G19),'Resol  Asuntos'!D19/NºAsuntos!G19," - ")</f>
        <v>0.20451339915373765</v>
      </c>
      <c r="AO19" s="886">
        <f>IF(ISNUMBER((NºAsuntos!C19+NºAsuntos!E19)/NºAsuntos!G19),(NºAsuntos!C19+NºAsuntos!E19)/NºAsuntos!G19," - ")</f>
        <v>5.8095909732016926</v>
      </c>
      <c r="AP19" s="887" t="str">
        <f t="shared" si="2"/>
        <v xml:space="preserve"> - </v>
      </c>
      <c r="AQ19" s="888">
        <f>IF(OR(ISNUMBER(FIND("01",Criterios!A8,1)),ISNUMBER(FIND("02",Criterios!A8,1)),ISNUMBER(FIND("03",Criterios!A8,1)),ISNUMBER(FIND("04",Criterios!A8,1))),(I19-W19+K19)/(F19-K19),(H19-W19+K19)/(F19-K19))</f>
        <v>-0.47044334975369456</v>
      </c>
      <c r="AR19" s="889">
        <f>IF(ISNUMBER((Datos!P19-Datos!Q19)/(Datos!R19-Datos!P19+Datos!Q19)),(Datos!P19-Datos!Q19)/(Datos!R19-Datos!P19+Datos!Q19)," - ")</f>
        <v>3.2203389830508473E-2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463.0349158900799</v>
      </c>
      <c r="G21" s="253">
        <f>IF(ISNUMBER(STDEV(G8:G18)),STDEV(G8:G18),"-")</f>
        <v>452.06415473912551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182.92949461472853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35.223098481914775</v>
      </c>
      <c r="AJ21" s="252">
        <f t="shared" si="18"/>
        <v>0</v>
      </c>
      <c r="AK21" s="254">
        <f t="shared" si="18"/>
        <v>0</v>
      </c>
      <c r="AL21" s="249">
        <f t="shared" si="18"/>
        <v>6.0179771124302471E-2</v>
      </c>
      <c r="AM21" s="250">
        <f t="shared" si="18"/>
        <v>6.1919761541813347</v>
      </c>
      <c r="AN21" s="250">
        <f t="shared" si="18"/>
        <v>0.33263954755468711</v>
      </c>
      <c r="AO21" s="251">
        <f t="shared" si="18"/>
        <v>3.0959880770906674</v>
      </c>
      <c r="AP21" s="291" t="str">
        <f t="shared" si="18"/>
        <v>-</v>
      </c>
      <c r="AQ21" s="292">
        <f t="shared" si="18"/>
        <v>9.2177984362856888E-2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OUyDS6WDIa7uyTJQiBm+pMXSiRE9jvG6lOTy7oshaI/jCV8uh5XHrjqnB9RaEbSiNhxqYwHyke2uXp/op10Zww==" saltValue="bBGV+kuOSDIqEDDDmol5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MARTOS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v>
      </c>
      <c r="E10" s="348">
        <f>IF(ISNUMBER((Datos!J10-Datos!T10)/Datos!T10),(Datos!J10-Datos!T10)/Datos!T10," - ")</f>
        <v>-1</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0.97560975609756095</v>
      </c>
      <c r="I12" s="350">
        <f>IF(ISNUMBER((Tasas!C12-Datos!BE12)/Datos!BE12),(Tasas!C12-Datos!BE12)/Datos!BE12," - ")</f>
        <v>-8.3181614212375091E-2</v>
      </c>
      <c r="J12" s="349">
        <f>IF(ISNUMBER((Tasas!D12-Datos!BF12)/Datos!BF12),(Tasas!D12-Datos!BF12)/Datos!BF12," - ")</f>
        <v>-0.12844036697247699</v>
      </c>
      <c r="K12" s="351">
        <f>IF(ISNUMBER((Tasas!E12-Datos!BG12)/Datos!BG12),(Tasas!E12-Datos!BG12)/Datos!BG12," - ")</f>
        <v>-7.4082876906473388E-2</v>
      </c>
      <c r="M12" t="e">
        <f>IF(Monitorios="SI",Datos!CE12,0)</f>
        <v>#REF!</v>
      </c>
      <c r="N12" t="e">
        <f>IF(Monitorios="SI",Datos!CF12,0)</f>
        <v>#REF!</v>
      </c>
      <c r="O12" t="e">
        <f>IF(Monitorios="SI",Datos!CG12,0)</f>
        <v>#REF!</v>
      </c>
      <c r="P12" t="e">
        <f>IF(Monitorios="SI",Datos!CH12,0)</f>
        <v>#REF!</v>
      </c>
      <c r="Q12">
        <f>IF(J_V="SI",0,Datos!AG12)</f>
        <v>38</v>
      </c>
      <c r="R12">
        <f>IF(J_V="SI",0,Datos!AH12)</f>
        <v>13</v>
      </c>
      <c r="S12">
        <f>IF(J_V="SI",0,Datos!AI12)</f>
        <v>7</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1.0487804878048781</v>
      </c>
      <c r="I13" s="357">
        <f>IF(ISNUMBER((Tasas!C13-Datos!BE13)/Datos!BE13),(Tasas!C13-Datos!BE13)/Datos!BE13," - ")</f>
        <v>-9.2531769305962727E-2</v>
      </c>
      <c r="J13" s="355">
        <f>IF(ISNUMBER((Tasas!D13-Datos!BF13)/Datos!BF13),(Tasas!D13-Datos!BF13)/Datos!BF13," - ")</f>
        <v>-0.10437710437710446</v>
      </c>
      <c r="K13" s="358">
        <f>IF(ISNUMBER((Tasas!E13-Datos!BG13)/Datos!BG13),(Tasas!E13-Datos!BG13)/Datos!BG13," - ")</f>
        <v>-8.2427725531173793E-2</v>
      </c>
      <c r="M13" t="e">
        <f>IF(Monitorios="SI",Datos!CE13,0)</f>
        <v>#REF!</v>
      </c>
      <c r="N13" t="e">
        <f>IF(Monitorios="SI",Datos!CF13,0)</f>
        <v>#REF!</v>
      </c>
      <c r="O13" t="e">
        <f>IF(Monitorios="SI",Datos!CG13,0)</f>
        <v>#REF!</v>
      </c>
      <c r="P13" t="e">
        <f>IF(Monitorios="SI",Datos!CH13,0)</f>
        <v>#REF!</v>
      </c>
      <c r="Q13">
        <f>IF(J_V="SI",0,Datos!AG13)</f>
        <v>38</v>
      </c>
      <c r="R13">
        <f>IF(J_V="SI",0,Datos!AH13)</f>
        <v>13</v>
      </c>
      <c r="S13">
        <f>IF(J_V="SI",0,Datos!AI13)</f>
        <v>7</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0.56395348837209303</v>
      </c>
      <c r="E16" s="348">
        <f>IF(ISNUMBER(
   IF(D_I="SI",(Datos!J16-Datos!T16)/Datos!T16,(Datos!J16+Datos!AD16-(Datos!T16+Datos!AL16))/(Datos!T16+Datos!AL16))
     ),IF(D_I="SI",(Datos!J16-Datos!T16)/Datos!T16,(Datos!J16+Datos!AD16-(Datos!T16+Datos!AL16))/(Datos!T16+Datos!AL16))," - ")</f>
        <v>-0.24744027303754265</v>
      </c>
      <c r="F16" s="348">
        <f>IF(ISNUMBER(
   IF(D_I="SI",(Datos!K16-Datos!U16)/Datos!U16,(Datos!K16+Datos!AE16-(Datos!U16+Datos!AM16))/(Datos!U16+Datos!AM16))
     ),IF(D_I="SI",(Datos!K16-Datos!U16)/Datos!U16,(Datos!K16+Datos!AE16-(Datos!U16+Datos!AM16))/(Datos!U16+Datos!AM16))," - ")</f>
        <v>-0.34151329243353784</v>
      </c>
      <c r="G16" s="349">
        <f>IF(ISNUMBER(
   IF(D_I="SI",(Datos!L16-Datos!V16)/Datos!V16,(Datos!L16+Datos!AF16-(Datos!V16+Datos!AN16))/(Datos!V16+Datos!AN16))
     ),IF(D_I="SI",(Datos!L16-Datos!V16)/Datos!V16,(Datos!L16+Datos!AF16-(Datos!V16+Datos!AN16))/(Datos!V16+Datos!AN16))," - ")</f>
        <v>0.51060358890701463</v>
      </c>
      <c r="H16" s="230">
        <f>IF(ISNUMBER((Datos!M16-Datos!W16)/Datos!W16),(Datos!M16-Datos!W16)/Datos!W16," - ")</f>
        <v>-8.6206896551724144E-2</v>
      </c>
      <c r="I16" s="350">
        <f>IF(ISNUMBER((Tasas!C16-Datos!BE16)/Datos!BE16),(Tasas!C16-Datos!BE16)/Datos!BE16," - ")</f>
        <v>1.2940532763215227</v>
      </c>
      <c r="J16" s="349">
        <f>IF(ISNUMBER((Tasas!D16-Datos!BF16)/Datos!BF16),(Tasas!D16-Datos!BF16)/Datos!BF16," - ")</f>
        <v>0.38771685585778543</v>
      </c>
      <c r="K16" s="351">
        <f>IF(ISNUMBER((Tasas!E16-Datos!BG16)/Datos!BG16),(Tasas!E16-Datos!BG16)/Datos!BG16," - ")</f>
        <v>0.71983181341659996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0.10112359550561797</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-0.6339285714285714</v>
      </c>
      <c r="H17" s="230">
        <f>IF(ISNUMBER((Datos!M17-Datos!W17)/Datos!W17),(Datos!M17-Datos!W17)/Datos!W17," - ")</f>
        <v>-0.5</v>
      </c>
      <c r="I17" s="350">
        <f>IF(ISNUMBER((Tasas!C17-Datos!BE17)/Datos!BE17),(Tasas!C17-Datos!BE17)/Datos!BE17," - ")</f>
        <v>-0.38988095238095233</v>
      </c>
      <c r="J17" s="349">
        <f>IF(ISNUMBER((Tasas!D17-Datos!BF17)/Datos!BF17),(Tasas!D17-Datos!BF17)/Datos!BF17," - ")</f>
        <v>-0.16666666666666669</v>
      </c>
      <c r="K17" s="351">
        <f>IF(ISNUMBER((Tasas!E17-Datos!BG17)/Datos!BG17),(Tasas!E17-Datos!BG17)/Datos!BG17," - ")</f>
        <v>-0.21095008051529793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0.49586776859504134</v>
      </c>
      <c r="E18" s="354">
        <f>IF(ISNUMBER(
   IF(D_I="SI",(Datos!J18-Datos!T18)/Datos!T18,(Datos!J18+Datos!AD18-(Datos!T18+Datos!AL18))/(Datos!T18+Datos!AL18))
     ),IF(D_I="SI",(Datos!J18-Datos!T18)/Datos!T18,(Datos!J18+Datos!AD18-(Datos!T18+Datos!AL18))/(Datos!T18+Datos!AL18))," - ")</f>
        <v>-0.37357954545454547</v>
      </c>
      <c r="F18" s="354">
        <f>IF(ISNUMBER(
   IF(D_I="SI",(Datos!K18-Datos!U18)/Datos!U18,(Datos!K18+Datos!AE18-(Datos!U18+Datos!AM18))/(Datos!U18+Datos!AM18))
     ),IF(D_I="SI",(Datos!K18-Datos!U18)/Datos!U18,(Datos!K18+Datos!AE18-(Datos!U18+Datos!AM18))/(Datos!U18+Datos!AM18))," - ")</f>
        <v>-0.35102739726027399</v>
      </c>
      <c r="G18" s="355">
        <f>IF(ISNUMBER(
   IF(D_I="SI",(Datos!L18-Datos!V18)/Datos!V18,(Datos!L18+Datos!AF18-(Datos!V18+Datos!AN18))/(Datos!V18+Datos!AN18))
     ),IF(D_I="SI",(Datos!L18-Datos!V18)/Datos!V18,(Datos!L18+Datos!AF18-(Datos!V18+Datos!AN18))/(Datos!V18+Datos!AN18))," - ")</f>
        <v>0.33379310344827584</v>
      </c>
      <c r="H18" s="356">
        <f>IF(ISNUMBER((Datos!M18-Datos!W18)/Datos!W18),(Datos!M18-Datos!W18)/Datos!W18," - ")</f>
        <v>-0.17567567567567569</v>
      </c>
      <c r="I18" s="357">
        <f>IF(ISNUMBER((Tasas!C18-Datos!BE18)/Datos!BE18),(Tasas!C18-Datos!BE18)/Datos!BE18," - ")</f>
        <v>1.0552379219361296</v>
      </c>
      <c r="J18" s="355">
        <f>IF(ISNUMBER((Tasas!D18-Datos!BF18)/Datos!BF18),(Tasas!D18-Datos!BF18)/Datos!BF18," - ")</f>
        <v>0.2701989588533123</v>
      </c>
      <c r="K18" s="358">
        <f>IF(ISNUMBER((Tasas!E18-Datos!BG18)/Datos!BG18),(Tasas!E18-Datos!BG18)/Datos!BG18," - ")</f>
        <v>0.5844518666185593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0.63237518910741297</v>
      </c>
      <c r="E19" s="363">
        <f>IF(ISNUMBER(
   IF(J_V="SI",(Datos!J19-Datos!T19)/Datos!T19,(Datos!J19+Datos!Z19-(Datos!T19+Datos!AH19))/(Datos!T19+Datos!AH19))
     ),IF(J_V="SI",(Datos!J19-Datos!T19)/Datos!T19,(Datos!J19+Datos!Z19-(Datos!T19+Datos!AH19))/(Datos!T19+Datos!AH19))," - ")</f>
        <v>-0.17260787992495311</v>
      </c>
      <c r="F19" s="363">
        <f>IF(ISNUMBER(
   IF(J_V="SI",(Datos!K19-Datos!U19)/Datos!U19,(Datos!K19+Datos!AA19-(Datos!U19+Datos!AI19))/(Datos!U19+Datos!AI19))
     ),IF(J_V="SI",(Datos!K19-Datos!U19)/Datos!U19,(Datos!K19+Datos!AA19-(Datos!U19+Datos!AI19))/(Datos!U19+Datos!AI19))," - ")</f>
        <v>-8.3979328165374678E-2</v>
      </c>
      <c r="G19" s="364">
        <f>IF(ISNUMBER(
   IF(J_V="SI",(Datos!L19-Datos!V19)/Datos!V19,(Datos!L19+Datos!AB19-(Datos!V19+Datos!AJ19))/(Datos!V19+Datos!AJ19))
     ),IF(J_V="SI",(Datos!L19-Datos!V19)/Datos!V19,(Datos!L19+Datos!AB19-(Datos!V19+Datos!AJ19))/(Datos!V19+Datos!AJ19))," - ")</f>
        <v>0.49890109890109891</v>
      </c>
      <c r="H19" s="365">
        <f>IF(ISNUMBER((Datos!M19-Datos!W19)/Datos!W19),(Datos!M19-Datos!W19)/Datos!W19," - ")</f>
        <v>0.2608695652173913</v>
      </c>
      <c r="I19" s="362">
        <f>IF(ISNUMBER((Tasas!C19-Datos!BE19)/Datos!BE19),(Tasas!C19-Datos!BE19)/Datos!BE19," - ")</f>
        <v>0.63631798384971872</v>
      </c>
      <c r="J19" s="363">
        <f>IF(ISNUMBER((Tasas!D19-Datos!BF19)/Datos!BF19),(Tasas!D19-Datos!BF19)/Datos!BF19," - ")</f>
        <v>0.23666696050775729</v>
      </c>
      <c r="K19" s="364">
        <f>IF(ISNUMBER((Tasas!E19-Datos!BG19)/Datos!BG19),(Tasas!E19-Datos!BG19)/Datos!BG19," - ")</f>
        <v>0.47478629493542474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1.8179949046481783</v>
      </c>
      <c r="E21" s="278">
        <f t="shared" si="1"/>
        <v>0.4013942962851878</v>
      </c>
      <c r="F21" s="278">
        <f t="shared" si="1"/>
        <v>3.1383458943956472E-2</v>
      </c>
      <c r="G21" s="279">
        <f t="shared" si="1"/>
        <v>0.54201366544703922</v>
      </c>
      <c r="H21" s="285">
        <f t="shared" si="1"/>
        <v>0.71085570892103334</v>
      </c>
      <c r="I21" s="277">
        <f t="shared" si="1"/>
        <v>0.76145822616813363</v>
      </c>
      <c r="J21" s="278">
        <f t="shared" si="1"/>
        <v>0.25746054889135433</v>
      </c>
      <c r="K21" s="279">
        <f t="shared" si="1"/>
        <v>0.43040588329056373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XhK82ij+wMHbB4KiIuiLjFuMKYrjzT2vunV6+gK6Ql2S/fQhoe4EzX/EgpTgwoWksCRctNtU6cwRJKxDRpVMA==" saltValue="WI+cu5Yrbqy6gfUREmUG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